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11940" windowHeight="5532" tabRatio="915" activeTab="13"/>
  </bookViews>
  <sheets>
    <sheet name="Cover" sheetId="1" r:id="rId1"/>
    <sheet name="Contents" sheetId="2" r:id="rId2"/>
    <sheet name="Other Info" sheetId="3" r:id="rId3"/>
    <sheet name="Assumptions" sheetId="4" r:id="rId4"/>
    <sheet name="Data" sheetId="5" r:id="rId5"/>
    <sheet name="Switching" sheetId="6" r:id="rId6"/>
    <sheet name="Smart Data" sheetId="7" r:id="rId7"/>
    <sheet name="Rail Reg Reqs" sheetId="8" r:id="rId8"/>
    <sheet name="Rail CAPEX" sheetId="9" r:id="rId9"/>
    <sheet name="Rail Assets" sheetId="10" r:id="rId10"/>
    <sheet name="Rail Asset Calcs" sheetId="11" r:id="rId11"/>
    <sheet name="Rail Expenses" sheetId="12" r:id="rId12"/>
    <sheet name="Rail Cost Summary" sheetId="13" r:id="rId13"/>
    <sheet name="Rail Pricing" sheetId="14" r:id="rId14"/>
    <sheet name="Global Error Check" sheetId="15" r:id="rId15"/>
  </sheets>
  <definedNames>
    <definedName name="ariskcost">'Data'!$B$47:$C$48</definedName>
    <definedName name="ariskport">'Data'!$C$48</definedName>
    <definedName name="ariskrail">'Data'!$F$47</definedName>
    <definedName name="capacityhead">'Data'!$B$29:$D$29</definedName>
    <definedName name="cust1">'Data'!$C$35</definedName>
    <definedName name="cust2">'Data'!$C$36</definedName>
    <definedName name="cust3">'Data'!$C$37</definedName>
    <definedName name="cust4">'Data'!$C$38</definedName>
    <definedName name="cust5">'Data'!$C$39</definedName>
    <definedName name="cust6">'Data'!$C$40</definedName>
    <definedName name="cust7">'Data'!$C$41</definedName>
    <definedName name="cust8">'Data'!$C$42</definedName>
    <definedName name="custdata">'Data'!$C$33:$F$43</definedName>
    <definedName name="custdatatot">'Data'!$B$43:$E$43</definedName>
    <definedName name="custhaul">'Data'!$F$35:$F$42</definedName>
    <definedName name="custlist">'Data'!$C$34:$C$42</definedName>
    <definedName name="custraillength">'Switching'!$V$7:$AD$29</definedName>
    <definedName name="custraillengthhead">'Switching'!$V$7:$AD$7</definedName>
    <definedName name="custrailsegtonne">'Switching'!$AF$8:$AO$27</definedName>
    <definedName name="custrailsegtonnehead">'Switching'!$AF$7:$AO$7</definedName>
    <definedName name="custrailsegtrains">'Switching'!$AQ$8:$AZ$27</definedName>
    <definedName name="custrailsegtrainshead">'Switching'!$AQ$7:$AZ$7</definedName>
    <definedName name="custtonnes">'Data'!$D$35:$D$42</definedName>
    <definedName name="custtrackkm">'Data'!$G$35:$G$42</definedName>
    <definedName name="custtrains">'Data'!$E$35:$E$42</definedName>
    <definedName name="effcapacity">'Data'!$B$29:$D$30</definedName>
    <definedName name="inflation">'Data'!$C$24</definedName>
    <definedName name="modelname">'Data'!$C$18</definedName>
    <definedName name="modelstart">'Data'!$C$19</definedName>
    <definedName name="rail1">'Data'!$C$54</definedName>
    <definedName name="rail10">'Data'!$C$63</definedName>
    <definedName name="rail11">'Data'!$C$64</definedName>
    <definedName name="rail12">'Data'!$C$65</definedName>
    <definedName name="rail13">'Data'!$C$66</definedName>
    <definedName name="rail14">'Data'!$C$67</definedName>
    <definedName name="rail15">'Data'!$C$68</definedName>
    <definedName name="rail16">'Data'!$C$69</definedName>
    <definedName name="rail17">'Data'!$C$70</definedName>
    <definedName name="rail18">'Data'!$C$71</definedName>
    <definedName name="rail19">'Data'!$C$72</definedName>
    <definedName name="rail2">'Data'!$C$55</definedName>
    <definedName name="rail20">'Data'!$C$73</definedName>
    <definedName name="rail3">'Data'!$C$56</definedName>
    <definedName name="rail4">'Data'!$C$57</definedName>
    <definedName name="rail5">'Data'!$C$58</definedName>
    <definedName name="rail6">'Data'!$C$59</definedName>
    <definedName name="rail7">'Data'!$C$60</definedName>
    <definedName name="rail8">'Data'!$C$61</definedName>
    <definedName name="rail9">'Data'!$C$62</definedName>
    <definedName name="railannuity">'Rail Assets'!$H$8:$H$55</definedName>
    <definedName name="railassethead">'Rail Assets'!$B$7:$I$7</definedName>
    <definedName name="railassets">'Rail Assets'!$B$8:$I$55</definedName>
    <definedName name="railcapannuity">'Data'!$H$111:$H$125</definedName>
    <definedName name="railcapcomp">'Data'!$E$111:$E$125</definedName>
    <definedName name="railcapcust">'Data'!$C$111:$C$125</definedName>
    <definedName name="railcapseg">'Data'!$D$111:$D$125</definedName>
    <definedName name="railcosthead">'Data'!$B$91:$H$91</definedName>
    <definedName name="railcostpyr">'Data'!$C$92:$C$106</definedName>
    <definedName name="railcosts">'Data'!$B$92:$H$106</definedName>
    <definedName name="railcostseg">'Data'!$D$92:$D$106</definedName>
    <definedName name="railcosttotal">'Data'!$H$92:$H$106</definedName>
    <definedName name="railcosttrain">'Data'!$F$92:$F$106</definedName>
    <definedName name="railcur1seg">'Data'!$C$87</definedName>
    <definedName name="railcurmax">'Data'!$C$81</definedName>
    <definedName name="raildata">'Data'!$C$54:$E$73</definedName>
    <definedName name="raillease">'Rail Assets'!$I$8:$I$55</definedName>
    <definedName name="raillength">'Data'!$E$74</definedName>
    <definedName name="raillist">'Data'!$C$52:$C$73</definedName>
    <definedName name="raillocale">'Rail Assets'!$F$8:$F$55</definedName>
    <definedName name="railmin1seg">'Data'!$C$86</definedName>
    <definedName name="railscale">'Data'!$B$84:$V$87</definedName>
    <definedName name="railscalehead">'Data'!$B$84:$V$84</definedName>
    <definedName name="railsegments">'Data'!$D$74</definedName>
    <definedName name="railswitch">'Switching'!$L$7:$T$29</definedName>
    <definedName name="railswitchhead">'Switching'!$L$7:$T$7</definedName>
    <definedName name="railunallocatedannuity">'Rail Asset Calcs'!$C$31</definedName>
    <definedName name="railunallocatedlease">'Rail Asset Calcs'!$D$31</definedName>
    <definedName name="reserve">'Data'!$C$21</definedName>
    <definedName name="reservedep">'Data'!$C$23</definedName>
    <definedName name="shipest">'Data'!$C$22</definedName>
    <definedName name="wacc">'Data'!$C$25</definedName>
    <definedName name="workbookname">'Data'!$C$20</definedName>
  </definedNames>
  <calcPr calcMode="manual" fullCalcOnLoad="1" calcCompleted="0" calcOnSave="0"/>
</workbook>
</file>

<file path=xl/sharedStrings.xml><?xml version="1.0" encoding="utf-8"?>
<sst xmlns="http://schemas.openxmlformats.org/spreadsheetml/2006/main" count="2029" uniqueCount="757">
  <si>
    <t xml:space="preserve">The capital costs is based on an annuity charge calculated in the "Rail Assets" sheet. </t>
  </si>
  <si>
    <t>Assets which support the operations are to be included in the operating costs or overhead cost calculations. These can be calculated on a net basis however in this model are listed in detail</t>
  </si>
  <si>
    <t>TPI will complete a valuation in accordance with the GRV methodology.</t>
  </si>
  <si>
    <t xml:space="preserve">The economic life used in the annuity calculation in the "Rail Assets" sheet is consistent with lives specified in Attachment A to the Costing Principles. </t>
  </si>
  <si>
    <t>For assets not specified in appendix A - the accounting principles of TPI has eben applied (life of reserve)</t>
  </si>
  <si>
    <t>The WACC as applied to TPI will be determined by the ERA and reviewed (by the ERA) each year at 30 June as applied to TPI.</t>
  </si>
  <si>
    <t>As the Code requires only efficient costs to be considered in the floor and ceiling tests, TPI will prepare operating costs based on the efficient cost of maintaining the MEA network.</t>
  </si>
  <si>
    <t>Operating costs will comprise all of the operating costs that would be incurred by an efficient stand alone operator in providing access to TPI’s railway infrastructure.</t>
  </si>
  <si>
    <t>Operating costs will therefore include:</t>
  </si>
  <si>
    <t>If not recovered in the WACC, an allowance for the fair value of the impact of asymmetric risk.</t>
  </si>
  <si>
    <t>Any rental payments or other costs associated with the corridor for the railway infrastructure; and</t>
  </si>
  <si>
    <t>Working capital;</t>
  </si>
  <si>
    <t>Network management costs;</t>
  </si>
  <si>
    <t>Routine, cyclical and major planned maintenance costs for signalling and communications;</t>
  </si>
  <si>
    <t>Routine, cyclical and major planned maintenance costs for track;</t>
  </si>
  <si>
    <t>TPI will develop its efficient cost estimates on the basis that its network is constructed to a standard that is equivalent to a MEA.</t>
  </si>
  <si>
    <t>Lube Oil Dispensing Stations</t>
  </si>
  <si>
    <t>Lube Oil Storage inc 20KL Tank</t>
  </si>
  <si>
    <t>Lube oil Unloading System</t>
  </si>
  <si>
    <t>MFG Single Axle Drop Table</t>
  </si>
  <si>
    <t>Tesco Tool Cart T24303</t>
  </si>
  <si>
    <t>Under Floor Wheel Lathe Type U</t>
  </si>
  <si>
    <t>IOCP Fleet Development Project</t>
  </si>
  <si>
    <t>Lockers - 305W Elitebuild</t>
  </si>
  <si>
    <t>Port Hedland Air Monitoring Pr</t>
  </si>
  <si>
    <t>Annuity Allocated to Segment</t>
  </si>
  <si>
    <t>Owner(s)</t>
  </si>
  <si>
    <t>Comment</t>
  </si>
  <si>
    <t>Rail Assumptions</t>
  </si>
  <si>
    <t>Stuart Spicer and Peter Thomas</t>
  </si>
  <si>
    <t>Rail segments are most logical from siding to siding</t>
  </si>
  <si>
    <t>Peter Thomas</t>
  </si>
  <si>
    <t>For Rail line, Superlift, Ballast and Sleepers - apply on a per kilometer basis.</t>
  </si>
  <si>
    <t>Asset Assumptions</t>
  </si>
  <si>
    <t>Quentin Hooper</t>
  </si>
  <si>
    <t>Our Fixed Assets are depreciated on a Unit of Measure method - our reserve is 1,625Mt so if we are on a shipping run rate of 55Mtpa then the life will be near 30 years.</t>
  </si>
  <si>
    <t>Total track metres</t>
  </si>
  <si>
    <t>Total Asset Annuities</t>
  </si>
  <si>
    <t>Year 1</t>
  </si>
  <si>
    <t>Year 2</t>
  </si>
  <si>
    <t>Year 3</t>
  </si>
  <si>
    <t>Year 4</t>
  </si>
  <si>
    <t>Year 5</t>
  </si>
  <si>
    <t>Year 6</t>
  </si>
  <si>
    <t>Dates</t>
  </si>
  <si>
    <t>Total Capital Expenditure</t>
  </si>
  <si>
    <t>Customer Name 1</t>
  </si>
  <si>
    <t>Customer Name 2</t>
  </si>
  <si>
    <t>Customer Name 3</t>
  </si>
  <si>
    <t>Customer Name 4</t>
  </si>
  <si>
    <t>Customer Name 5</t>
  </si>
  <si>
    <t>Customer Name 6</t>
  </si>
  <si>
    <t>Customer Name 7</t>
  </si>
  <si>
    <t>Customer Name 8</t>
  </si>
  <si>
    <t>Customer Data</t>
  </si>
  <si>
    <t>Names</t>
  </si>
  <si>
    <t>Customer 4</t>
  </si>
  <si>
    <t>Customer 5</t>
  </si>
  <si>
    <t>Customer 6</t>
  </si>
  <si>
    <t>Customer 7</t>
  </si>
  <si>
    <t>Customer 8</t>
  </si>
  <si>
    <t>Estimated Tonnes</t>
  </si>
  <si>
    <t>Estimated Trains</t>
  </si>
  <si>
    <t>custdata</t>
  </si>
  <si>
    <t>Rail Incremental Costs by Segment</t>
  </si>
  <si>
    <t>#Number of Segments</t>
  </si>
  <si>
    <t>railscale</t>
  </si>
  <si>
    <t>% Allocation of costs at</t>
  </si>
  <si>
    <t>Minimum load</t>
  </si>
  <si>
    <t>Current load</t>
  </si>
  <si>
    <t>Minimum load % for 1 segment</t>
  </si>
  <si>
    <t>Current load % for 1 segment</t>
  </si>
  <si>
    <t>Allocated to Segment</t>
  </si>
  <si>
    <t>Allocation Method</t>
  </si>
  <si>
    <t>railcostpyr</t>
  </si>
  <si>
    <t>railcostseg</t>
  </si>
  <si>
    <t>railcosttrain</t>
  </si>
  <si>
    <t>Segment</t>
  </si>
  <si>
    <t>railcapseg</t>
  </si>
  <si>
    <t>railcapannuity</t>
  </si>
  <si>
    <t>Asset Annuities</t>
  </si>
  <si>
    <t>On</t>
  </si>
  <si>
    <t>Rail Access Switches</t>
  </si>
  <si>
    <t>Off</t>
  </si>
  <si>
    <t>N/A</t>
  </si>
  <si>
    <t>$</t>
  </si>
  <si>
    <t>Allocations</t>
  </si>
  <si>
    <t>Difference (Unallocated)</t>
  </si>
  <si>
    <t>Error Check</t>
  </si>
  <si>
    <t>Minimum load % for all active segments</t>
  </si>
  <si>
    <t>Current load % for all active segments</t>
  </si>
  <si>
    <t>railunallocatedannuity</t>
  </si>
  <si>
    <t>railunallocatedlease</t>
  </si>
  <si>
    <t>Rail Lengths</t>
  </si>
  <si>
    <t>Total</t>
  </si>
  <si>
    <t>railcurmax</t>
  </si>
  <si>
    <t>Customer Trains</t>
  </si>
  <si>
    <t># of Trains Cost based on</t>
  </si>
  <si>
    <t>Total Yearly Cost</t>
  </si>
  <si>
    <t>railcosttotal</t>
  </si>
  <si>
    <t>Asymetric Risk Cost</t>
  </si>
  <si>
    <t>Rail</t>
  </si>
  <si>
    <t>ariskcost</t>
  </si>
  <si>
    <t>Display of the operating costs associated with the rail network</t>
  </si>
  <si>
    <t>Operating costs that need to be split by length of track</t>
  </si>
  <si>
    <t>Operating costs that need to be split by train kms</t>
  </si>
  <si>
    <t>Operating costs that need to be split by tgross tonne km</t>
  </si>
  <si>
    <t>The different types of asset annuities allocated towards floor costing</t>
  </si>
  <si>
    <t>The different types of lease expenses allocated towards floor costing</t>
  </si>
  <si>
    <t>The different types of capital expenditure allocated towards floor costing</t>
  </si>
  <si>
    <t>The different types of operating expenses allocated towards floor costing</t>
  </si>
  <si>
    <t>This section contains the summary of components that make up floor costing from prior worksheets</t>
  </si>
  <si>
    <t>A total of the above totals</t>
  </si>
  <si>
    <t>Expected yearly volumes per segment across the rail network</t>
  </si>
  <si>
    <t>Floor price based on total costs and expected volumes</t>
  </si>
  <si>
    <t>This section contains the summary of components that make up ceiling costing from prior worksheets</t>
  </si>
  <si>
    <t>The different types of asset annuities allocated towards ceiling costing</t>
  </si>
  <si>
    <t>The different types of lease expenses allocated towards ceiling costing</t>
  </si>
  <si>
    <t>The different types of capital expenditure allocated towards ceiling costing</t>
  </si>
  <si>
    <t>The different types of operating expenses allocated towards ceiling costing</t>
  </si>
  <si>
    <t>Ceiling price based on total costs and expected volumes</t>
  </si>
  <si>
    <t>Suggested and contracted pricing associated to this customer</t>
  </si>
  <si>
    <t>Total pricing and reconciliations</t>
  </si>
  <si>
    <t>This sheet checks all the other sheets in the model that have error checks on them to give a error check snapshot</t>
  </si>
  <si>
    <t>Sheet Index</t>
  </si>
  <si>
    <t>Disclaimer</t>
  </si>
  <si>
    <t>Standard KPMG Disclaimer</t>
  </si>
  <si>
    <t>The Model and its contents are confidential to the person(s) to whom it is delivered and should not be copied or distributed in whole or in part or disclosed by such persons to any other person.</t>
  </si>
  <si>
    <t>Future results are impossible to predict. Estimates and forecasts derived from a Model are subject to significant uncertainties and contingencies.</t>
  </si>
  <si>
    <t>This Model includes forward-looking statements that represent opinions, estimates and projections, which may not be realized.</t>
  </si>
  <si>
    <t>We believe the information provided herein is reliable, as of the date hereof, but do not warrant its accuracy or completeness.</t>
  </si>
  <si>
    <t>Please conduct own investigations and enquiries regarding the uncertainties and contingencies that may be relevant to the analysis and the impact that any change in any assumptions, variables or other inputs may have on that analysis.</t>
  </si>
  <si>
    <t>KPMG will not be responsible for failure of the Model or for output errors resulting from any incorrect or inappropriate inputs.</t>
  </si>
  <si>
    <t>You must not use, reproduce or adapt the Model otherwise than in relation to a shift production report without prior written consent.</t>
  </si>
  <si>
    <t>custhaul</t>
  </si>
  <si>
    <t>custtrains</t>
  </si>
  <si>
    <t>custtonnes</t>
  </si>
  <si>
    <t>custtrackkm</t>
  </si>
  <si>
    <t>Allocation of Annuity Costs</t>
  </si>
  <si>
    <t>Track length in metres for the segment</t>
  </si>
  <si>
    <t>Active segments</t>
  </si>
  <si>
    <t>"Equal Split" Allocated by track length</t>
  </si>
  <si>
    <t>Direct (as per allocation of assets)</t>
  </si>
  <si>
    <t>Total active segments</t>
  </si>
  <si>
    <t>Total cost</t>
  </si>
  <si>
    <t>Difference (should be zero)</t>
  </si>
  <si>
    <t>"All" Allocated equally across active segments</t>
  </si>
  <si>
    <t>Cost Per Year</t>
  </si>
  <si>
    <t>Cost based on X# of Trains</t>
  </si>
  <si>
    <t>Rail Operations</t>
  </si>
  <si>
    <t>Rail Rolling Stock Maintenance</t>
  </si>
  <si>
    <t>Rail Track Maintenance</t>
  </si>
  <si>
    <t>Rail Signals Maintenance</t>
  </si>
  <si>
    <t>Ore Car Tracking System</t>
  </si>
  <si>
    <t>Trackmobile</t>
  </si>
  <si>
    <t>Capitalised Rail Spares</t>
  </si>
  <si>
    <t>Pre-Prod Dev - Rail Infrastruc</t>
  </si>
  <si>
    <t>Budgeted Customer Trains for segment</t>
  </si>
  <si>
    <t>Total Operating Costs</t>
  </si>
  <si>
    <t xml:space="preserve">Gross Operating Costs </t>
  </si>
  <si>
    <t xml:space="preserve">Allocation of Operating Costs </t>
  </si>
  <si>
    <t>The following list contains all name references and a brief description</t>
  </si>
  <si>
    <t>Asymmetric Risk Cost</t>
  </si>
  <si>
    <t>Cloudbreak to Xmas Creek</t>
  </si>
  <si>
    <t>FMG - CB</t>
  </si>
  <si>
    <t>The asymmetric risk associated to the rail and port infrastructure</t>
  </si>
  <si>
    <t>Display of the capital expenditure projects in relation to the railway</t>
  </si>
  <si>
    <t>Annuities that relate to the capital expenditure projects based on the railway</t>
  </si>
  <si>
    <t>This sheet calculates all of the relevant allocations on assets and the application of asymmetric risk costs</t>
  </si>
  <si>
    <t>Capital Expenditure Yearly Annuities</t>
  </si>
  <si>
    <t>Asymmetric risk calculated off the capital associated with the rail network</t>
  </si>
  <si>
    <t>Check to see that all asymmetric amount is correctly allocated</t>
  </si>
  <si>
    <t>The asymmetric risk that is allocated to floor costing on the rail network</t>
  </si>
  <si>
    <t>The asymmetric risk that is allocated to ceiling costing on the rail network</t>
  </si>
  <si>
    <t>Asymmetric risk cost data table</t>
  </si>
  <si>
    <t>Asymmetric risk cost for port</t>
  </si>
  <si>
    <t>Asymmetric risk cost for rail</t>
  </si>
  <si>
    <t>Header range for efficient capacity range</t>
  </si>
  <si>
    <t>Data table showing the efficient capacities of each of the different services</t>
  </si>
  <si>
    <t>Number of active segments in the railway</t>
  </si>
  <si>
    <t>Floor costs for an access seeker will include a capital charge where it is necessary to incur capital expenditure to provide access to an access seeker</t>
  </si>
  <si>
    <t>This model applies to all of the rail infrastructure owned by TPI and as included in the data inputs in the "Rail Assets" sheet</t>
  </si>
  <si>
    <t>The WACC does not include an allowance for asymmetric risk.</t>
  </si>
  <si>
    <t>The Asymmetric risk allowance is included as a separate item in the operating costs, and allocated in accordance with the annuity and lease calculations.</t>
  </si>
  <si>
    <t>The Annuity Payment is calculated on the "Rail Assets" sheet with reference to the GRV, the Remaining Useful Life and the Nominal Pre-tax WACC</t>
  </si>
  <si>
    <t>and allocated to a particular customer in the "Data" sheet.</t>
  </si>
  <si>
    <t>Gross TKM</t>
  </si>
  <si>
    <t>Allocation Check</t>
  </si>
  <si>
    <t>Segments</t>
  </si>
  <si>
    <t>Track M's</t>
  </si>
  <si>
    <t>Checks</t>
  </si>
  <si>
    <t>Final Check</t>
  </si>
  <si>
    <t>Allocation of costs by Train KM - Equal Split / Direct</t>
  </si>
  <si>
    <t>Customer Trains &gt;</t>
  </si>
  <si>
    <t>Customer Name &gt;</t>
  </si>
  <si>
    <t>Global Segtion Active Flag</t>
  </si>
  <si>
    <t>Segment Active Flag</t>
  </si>
  <si>
    <t>Global Segment Active Flag</t>
  </si>
  <si>
    <t>Customer Segment Active Flag</t>
  </si>
  <si>
    <t>Minimum costs to run a segment</t>
  </si>
  <si>
    <t>Number of segments being utilised</t>
  </si>
  <si>
    <t>Percentage required to run segment/s</t>
  </si>
  <si>
    <t>Current Active Segments</t>
  </si>
  <si>
    <t>Minimum cost % to run active segments</t>
  </si>
  <si>
    <t>Customer Tonnes &gt;</t>
  </si>
  <si>
    <t>Customer Train Metres</t>
  </si>
  <si>
    <t>Customer Tonnes Metres</t>
  </si>
  <si>
    <t>Allocation of costs by Length of Track - Equal Split / Direct</t>
  </si>
  <si>
    <t>Allocation of costs by Gross Tonne KM</t>
  </si>
  <si>
    <t>Allocation of Lease Costs</t>
  </si>
  <si>
    <r>
      <t xml:space="preserve">Allocation of Asymetric Risk Costs (Floor) 
</t>
    </r>
    <r>
      <rPr>
        <sz val="8"/>
        <rFont val="Verdana"/>
        <family val="2"/>
      </rPr>
      <t>(Equally split and directly allocated annuities and lease expenses)</t>
    </r>
  </si>
  <si>
    <r>
      <t xml:space="preserve">Allocation of Asymetric Risk Costs (Ceiling) 
</t>
    </r>
    <r>
      <rPr>
        <sz val="8"/>
        <rFont val="Verdana"/>
        <family val="2"/>
      </rPr>
      <t>(All asset annuities and lease expenses)</t>
    </r>
  </si>
  <si>
    <t>Total Capital Annuities</t>
  </si>
  <si>
    <t>Capital Expenditure Projects</t>
  </si>
  <si>
    <t>Year Ending</t>
  </si>
  <si>
    <t>Annuities if completed in this Period</t>
  </si>
  <si>
    <t>Annuities for subsequent Periods</t>
  </si>
  <si>
    <t>Capital Expenditure Yearly Annunities</t>
  </si>
  <si>
    <t>Allocation of Annuity Costs - Year 1</t>
  </si>
  <si>
    <t>Allocation of Annuity Costs - Year 2</t>
  </si>
  <si>
    <t>Allocation of Annuity Costs - Year 3</t>
  </si>
  <si>
    <t>Allocation of Annuity Costs - Year 4</t>
  </si>
  <si>
    <t>This is the costing model referred to in Section 2 of the Costing Principles for "The Pilbara Infrastructure Pty Ltd" (TPI)</t>
  </si>
  <si>
    <t>Allocation of Annuity Costs - Year 5</t>
  </si>
  <si>
    <t>Allocation of Annuity Costs - Year 6</t>
  </si>
  <si>
    <t>Asymetric Risk</t>
  </si>
  <si>
    <t>Capital Expenditure</t>
  </si>
  <si>
    <t>Asset annuities allocated equally across active segments</t>
  </si>
  <si>
    <t>Reconciliation</t>
  </si>
  <si>
    <t>Lease Expenses allocated equally across active segments</t>
  </si>
  <si>
    <t>Capital Expenditure annuities allocated equally across active segments</t>
  </si>
  <si>
    <t>Total Additional Capital</t>
  </si>
  <si>
    <t>Asymetric Risk Costs assoicated to additional capital</t>
  </si>
  <si>
    <t>Maximum costs to run an individual segment</t>
  </si>
  <si>
    <t>Maximum cost % to run active segments</t>
  </si>
  <si>
    <t>Percentage required to run segment</t>
  </si>
  <si>
    <t>Floor Costing</t>
  </si>
  <si>
    <t>Total asset annuities equally split by track length</t>
  </si>
  <si>
    <t>Asset annuities directly allocated to a segment</t>
  </si>
  <si>
    <t>Asset annuities equally split by track length</t>
  </si>
  <si>
    <t>Inflation to be applied.</t>
  </si>
  <si>
    <t>Lease expenses equally split by track length</t>
  </si>
  <si>
    <t>Lease expenses directly allocated to a segment</t>
  </si>
  <si>
    <t>Total Lease Expenses</t>
  </si>
  <si>
    <t>Capital expenditure equally split by track length</t>
  </si>
  <si>
    <t>Capital expenditure directly allocated to a segment</t>
  </si>
  <si>
    <t>Operating Expenses</t>
  </si>
  <si>
    <t>Total capital expenditure directly allocated to a segment</t>
  </si>
  <si>
    <t>Total capital expenditure equally split by track length</t>
  </si>
  <si>
    <t>Total lease expense directly allocated to a segment</t>
  </si>
  <si>
    <t>Total lease expense equally split by track length</t>
  </si>
  <si>
    <t>Total asset annuities directly allocated to a segment</t>
  </si>
  <si>
    <t>Operating expenses equally split by track length</t>
  </si>
  <si>
    <t>Minimum operating expenses required to run a segment</t>
  </si>
  <si>
    <t>Total operating expenses equally split by track length</t>
  </si>
  <si>
    <t>Total minimum operating expenses required to run a segment</t>
  </si>
  <si>
    <t>Operating expenses split by gross tonne metres</t>
  </si>
  <si>
    <t>Total operating expenses split by gross tonne metres</t>
  </si>
  <si>
    <t>Total Operating Expenses</t>
  </si>
  <si>
    <t>Asymetric risk based on capital</t>
  </si>
  <si>
    <t>Total asymetric risk based on capital</t>
  </si>
  <si>
    <t>Total Asymetric Risk Cost</t>
  </si>
  <si>
    <t>Total Floor Costs</t>
  </si>
  <si>
    <t>Total floor cost</t>
  </si>
  <si>
    <t>Difference (Should equal 0)</t>
  </si>
  <si>
    <t>Reconciliation #2</t>
  </si>
  <si>
    <t>Reconcilation #1</t>
  </si>
  <si>
    <t>Total of sub-totals</t>
  </si>
  <si>
    <t>Total of above floor costs</t>
  </si>
  <si>
    <t>Volumes</t>
  </si>
  <si>
    <t>Volume per segment</t>
  </si>
  <si>
    <t>T</t>
  </si>
  <si>
    <t>Floor Price</t>
  </si>
  <si>
    <t>$/T</t>
  </si>
  <si>
    <t>Floor pricing</t>
  </si>
  <si>
    <t>Total floor cost for all segments</t>
  </si>
  <si>
    <t>Ceiling Costing</t>
  </si>
  <si>
    <t>Asset annuities allocated equally across all segments</t>
  </si>
  <si>
    <t>Total asset annuities allocated equally across all segments</t>
  </si>
  <si>
    <t>Lease expenses allocated equally across all segments</t>
  </si>
  <si>
    <t>Total lease expense allocated equally across all segments</t>
  </si>
  <si>
    <t>Capital expenditure allocated equally across all segments</t>
  </si>
  <si>
    <t>Total capital expenditure allocated equally across all segments</t>
  </si>
  <si>
    <t>Maximum operating expenses required to run a segment</t>
  </si>
  <si>
    <t>Total maximum operating expenses required to run a segment</t>
  </si>
  <si>
    <t>Ceiling Price</t>
  </si>
  <si>
    <r>
      <t xml:space="preserve">Useful Life </t>
    </r>
    <r>
      <rPr>
        <b/>
        <sz val="8"/>
        <rFont val="Verdana"/>
        <family val="2"/>
      </rPr>
      <t>(must be &gt;6 yrs)</t>
    </r>
  </si>
  <si>
    <t>The reason this is set to '1' is because the maximum cost to run an individual segment will be if a customer only uses 1 segment. 
If the customer was to use more than 1 segment the incremental cost per segment would be less than a customer only using 1 segment.</t>
  </si>
  <si>
    <t>Customer Tonnes</t>
  </si>
  <si>
    <t>Segment Tonnes</t>
  </si>
  <si>
    <t>Segment Trains</t>
  </si>
  <si>
    <t>Total Ceiling Costs</t>
  </si>
  <si>
    <t>Total of above ceiling costs</t>
  </si>
  <si>
    <t>Total ceiling cost</t>
  </si>
  <si>
    <t>Ceiling pricing</t>
  </si>
  <si>
    <t>Total Ceiling cost for all segments</t>
  </si>
  <si>
    <t>Asymetric risk is a cost linked to the capital contained with the rail and port network. It is split over segments by the capital attributable to that segment. It is further allocated to a customer based on the number of tonnes they intend to move.</t>
  </si>
  <si>
    <t>To update - set yearly cost to 0. Update the Asymmetric %. Calculate. Input Calc into Total Yearly Cost</t>
  </si>
  <si>
    <t>Asymmetric %</t>
  </si>
  <si>
    <t>Revenue</t>
  </si>
  <si>
    <t>Calc</t>
  </si>
  <si>
    <t>Floor</t>
  </si>
  <si>
    <t>Ceiling</t>
  </si>
  <si>
    <t xml:space="preserve">Contracted </t>
  </si>
  <si>
    <t>Pricing</t>
  </si>
  <si>
    <t>Segments:</t>
  </si>
  <si>
    <t>Revenue Generated:</t>
  </si>
  <si>
    <t>Revenue (Contracted)</t>
  </si>
  <si>
    <t>Costs</t>
  </si>
  <si>
    <t>Check (Contracted)</t>
  </si>
  <si>
    <t>Tonnes per Train</t>
  </si>
  <si>
    <t>Tonnes / Train</t>
  </si>
  <si>
    <t>Rail Capacity</t>
  </si>
  <si>
    <t>Check</t>
  </si>
  <si>
    <t>Efficent Capcity</t>
  </si>
  <si>
    <t>Customers</t>
  </si>
  <si>
    <t>Entry/Exit</t>
  </si>
  <si>
    <t>Rail Segment Entry / Exit</t>
  </si>
  <si>
    <t>3rd Party Access Model</t>
  </si>
  <si>
    <t>FORTESCUE METALS GROUP LTD 
&amp; 
THE PILBARA INFRASTRUCTURE PTY LTD</t>
  </si>
  <si>
    <t>Model Name</t>
  </si>
  <si>
    <t>modelname</t>
  </si>
  <si>
    <t>Assumptions Sheet</t>
  </si>
  <si>
    <t>Main Data Input Sheet</t>
  </si>
  <si>
    <t>Data Input Check Sheet</t>
  </si>
  <si>
    <t>Customer Segment Switching Sheet</t>
  </si>
  <si>
    <t>Rail Capital Expenditure Sheet</t>
  </si>
  <si>
    <t>Rail Assets Sheet</t>
  </si>
  <si>
    <t>Rail Expenses Sheet</t>
  </si>
  <si>
    <t>Rail Cost Summary Sheet</t>
  </si>
  <si>
    <t>Rail Pricing Sheet</t>
  </si>
  <si>
    <t>Rail Assets Calculation Sheet</t>
  </si>
  <si>
    <t>This sheet contains any assumptions made when constructing the model</t>
  </si>
  <si>
    <t>This sheet contains most of the data input ranges that are used to calculate the model</t>
  </si>
  <si>
    <t>This sheet aims to give the user a quick snapshot at how some of the data could be looked at to judge if that data is smart</t>
  </si>
  <si>
    <t>This sheet is used to control what segments each of the customers uses on the network</t>
  </si>
  <si>
    <t>This sheet displays capital expenditure projects in relation to the railway</t>
  </si>
  <si>
    <t>This sheet contains all assets (owned and leased) that relate to the railway</t>
  </si>
  <si>
    <t>Table of operating costs associated to the rail network</t>
  </si>
  <si>
    <t>Scaling of incremental costs on the rail network</t>
  </si>
  <si>
    <t>Capital expenditure projects relating to the rail network</t>
  </si>
  <si>
    <t>Customer switching in relation to the rail network</t>
  </si>
  <si>
    <t>The section below contains tests to the validity of the data in relation to the rail network</t>
  </si>
  <si>
    <t>Calculating the expected tonnes per train</t>
  </si>
  <si>
    <t>Checking the capacity of the network is within not less than what is expected to flow down the network</t>
  </si>
  <si>
    <t>Checks when customers join and leave the rail network</t>
  </si>
  <si>
    <t>This sheet calculates all of the relevant allocations of expenses in relation to the railway</t>
  </si>
  <si>
    <t>This sheet summarises all the costs involved in creating a floor and ceiling cost for the railway</t>
  </si>
  <si>
    <t>This sheet helps to check that the revenue recovered is equal to or less than the cost of the railway</t>
  </si>
  <si>
    <t>Contents Sheet</t>
  </si>
  <si>
    <t>This sheet contains a table of contents for the model</t>
  </si>
  <si>
    <t>Link</t>
  </si>
  <si>
    <t>Sheet / Section</t>
  </si>
  <si>
    <t>Cover</t>
  </si>
  <si>
    <t>Cover Sheet</t>
  </si>
  <si>
    <t>Contents</t>
  </si>
  <si>
    <t xml:space="preserve">Assumptions </t>
  </si>
  <si>
    <t>Data</t>
  </si>
  <si>
    <t>Smart Data</t>
  </si>
  <si>
    <t>Switching</t>
  </si>
  <si>
    <t>Rail CAPEX</t>
  </si>
  <si>
    <t>Rail Expenses</t>
  </si>
  <si>
    <t>Rail Cost Summary</t>
  </si>
  <si>
    <t>Rail Pricing</t>
  </si>
  <si>
    <t>Name Reference</t>
  </si>
  <si>
    <t>Other Info</t>
  </si>
  <si>
    <t>This sheet contains useful information in regards to operating the model</t>
  </si>
  <si>
    <t>ariskport</t>
  </si>
  <si>
    <t>ariskrail</t>
  </si>
  <si>
    <t>capacityhead</t>
  </si>
  <si>
    <t>cust1</t>
  </si>
  <si>
    <t>cust2</t>
  </si>
  <si>
    <t>cust3</t>
  </si>
  <si>
    <t>cust4</t>
  </si>
  <si>
    <t>cust5</t>
  </si>
  <si>
    <t>A percentage of total costs is applied to calculate the minimum costs for a sector, to represent the costs of a sector that would be avoided if the sector was not there.  It therefore represents an estimate of the costs that are directly attributable to that sector. The factor is applied to the fully allocated cost (by sector) to determine a minimum cost that should be recovered in the establishment of the floor price.</t>
  </si>
  <si>
    <t>cust6</t>
  </si>
  <si>
    <t>cust7</t>
  </si>
  <si>
    <t>cust8</t>
  </si>
  <si>
    <t>custdatatot</t>
  </si>
  <si>
    <t>custlist</t>
  </si>
  <si>
    <t>custraillength</t>
  </si>
  <si>
    <t>custraillengthhead</t>
  </si>
  <si>
    <t>custrailsegtonne</t>
  </si>
  <si>
    <t>custrailsegtonnehead</t>
  </si>
  <si>
    <t>custrailsegtrains</t>
  </si>
  <si>
    <t>custrailsegtrainshead</t>
  </si>
  <si>
    <t>railannuity</t>
  </si>
  <si>
    <t>railassethead</t>
  </si>
  <si>
    <t>railassets</t>
  </si>
  <si>
    <t>railcosthead</t>
  </si>
  <si>
    <t>railcur1seg</t>
  </si>
  <si>
    <t>raildata</t>
  </si>
  <si>
    <t>raillease</t>
  </si>
  <si>
    <t>raillist</t>
  </si>
  <si>
    <t>raillocale</t>
  </si>
  <si>
    <t>Other Information</t>
  </si>
  <si>
    <t>How To Use This Model</t>
  </si>
  <si>
    <t>Rail Regulatory Rules and Requirements</t>
  </si>
  <si>
    <t>Introduction</t>
  </si>
  <si>
    <t>This model applies the Costing Principles to the process of developing floor and ceiling prices for the rail services offered by TPI</t>
  </si>
  <si>
    <t>Timing and Route Sections</t>
  </si>
  <si>
    <t xml:space="preserve">This model calculates the Floor and Ceiling costs at the route Section level which are aggregated to provide a total floor and ceiling cost for the </t>
  </si>
  <si>
    <t xml:space="preserve">route selected by the access seeker.  The route section defined by Appendix C of the Costing Principles is defined as a section of approximately 270 km </t>
  </si>
  <si>
    <t>in length from the Cloudbreak Mine and the dump station at the port facilities at Anderson Point in Port Headland.</t>
  </si>
  <si>
    <t>Determination of Capital Costs</t>
  </si>
  <si>
    <t>Rail Capital Expenditure on the "data" sheet allows for capital expenditure to be prescribed to a particular customer or access seeker.</t>
  </si>
  <si>
    <t>Infrastructure included</t>
  </si>
  <si>
    <t>Consistent with the Costing Principles, no land is included in the initial capital calculations and has been excluded from the annuity calculations in the "Rail Assets" sheet.</t>
  </si>
  <si>
    <t>Expenditure on cuttings and embankments is included in the assets inputs in the "Rail Assets" sheet.</t>
  </si>
  <si>
    <t>3.1.1</t>
  </si>
  <si>
    <t>Gross Replacement Value</t>
  </si>
  <si>
    <t>GRV is calculated in the "Rail Assets' sheet through the application of the inflation input from the acquisition date to the model start date</t>
  </si>
  <si>
    <t>3.1.2</t>
  </si>
  <si>
    <t>Economic life</t>
  </si>
  <si>
    <t>3.1.3</t>
  </si>
  <si>
    <t>Rate of return</t>
  </si>
  <si>
    <t>The WACC applied in the annuity calculation is input in the "Data" sheet</t>
  </si>
  <si>
    <t>The WACC input represents a nominal pre-tax WACC</t>
  </si>
  <si>
    <t>This column shows the amount of throughput that the yearly costs are based on</t>
  </si>
  <si>
    <t>This cell indicates the percentage of incremental costs to run a single segment at current capacity</t>
  </si>
  <si>
    <t>This cell indicates the percentage of incremental costs to run at max segments at capacity</t>
  </si>
  <si>
    <t>This cell indicates the percentage of incremental costs to run a single segment at minimum capacity</t>
  </si>
  <si>
    <t>TPI will refine cost allocators as its experience with the actual costs of providing access increases.</t>
  </si>
  <si>
    <t>TPI's overheads are those overhead costs attributable to the access - related functions of the business.</t>
  </si>
  <si>
    <t>The cost of any activity which would be incurred by an efficient stand alone operator in providing access to TPI’s railway infrastructure but is not considered by the ERA to be classed as an operating cost will be included as an overhead cost.</t>
  </si>
  <si>
    <t>For operating costs - CPI is applied to the operating cost each year.</t>
  </si>
  <si>
    <t>For capital costs - CPI is incorporated into a nominal WACC used to calculate the annuity</t>
  </si>
  <si>
    <t>The CPI applied is the weighted average of 8 capital cities as published by the ABS (March to March)</t>
  </si>
  <si>
    <t>TPI will demonstrate to the ERA that these costs are efficient.</t>
  </si>
  <si>
    <t>Calculation of floor and ceiling costs will be consistent with the provisions in Schedule 4 of the Code.</t>
  </si>
  <si>
    <t>The calculation of the floor price is dependent on a range of factors will which vary for each access application. That is, each operator can have a different floor and the sum</t>
  </si>
  <si>
    <t>of all operators’ floors on a route section will not be less than the floor for that route section.</t>
  </si>
  <si>
    <t>This column shows all the asset annuities that has been calculated for railway associated assets</t>
  </si>
  <si>
    <t>Header range for railway assets</t>
  </si>
  <si>
    <t>Data table showing entire railway assets listing</t>
  </si>
  <si>
    <t>The annuities amount associated to capital expenditure projects in relation to railway</t>
  </si>
  <si>
    <t>The completion dates associated to capital expenditure projects in relation to railway</t>
  </si>
  <si>
    <t>The customer associated to capital expenditure projects in relation to railway</t>
  </si>
  <si>
    <t>The activity segment associated to capital expenditure projects in relation to railway</t>
  </si>
  <si>
    <t>Header range for railway costs</t>
  </si>
  <si>
    <t>This column shows the yearly cost for running the railway based on the loads in column F</t>
  </si>
  <si>
    <t>Data table which shows all costs that are associated with railway</t>
  </si>
  <si>
    <t>This column shows which segment of the railway running costs are allocated to</t>
  </si>
  <si>
    <t>This column shows the final amount of cost required to run the railway on expected capacity</t>
  </si>
  <si>
    <t>This column shows all the asset lease expenses that has been calculated for railway associated assets</t>
  </si>
  <si>
    <t>List of railway segment names</t>
  </si>
  <si>
    <t>This column shows all the location of all assets that has been allocated to the railway</t>
  </si>
  <si>
    <t>Incremental railway cost scaling rows</t>
  </si>
  <si>
    <t>Header range for railway cost scaling</t>
  </si>
  <si>
    <t>Data table that shows which segments of the railway each customer is using</t>
  </si>
  <si>
    <t>Header range for the railway switching table</t>
  </si>
  <si>
    <t>Identifies if there is any railway asset annuities that have not been correctly allocated</t>
  </si>
  <si>
    <t>Identifies if there is any railway asset lease expenses that have not been correctly allocated</t>
  </si>
  <si>
    <t>Railway data table</t>
  </si>
  <si>
    <t>The length of the railway</t>
  </si>
  <si>
    <t>The remaining size of the mine</t>
  </si>
  <si>
    <t>The expected depletion date of the reserve</t>
  </si>
  <si>
    <t>The weighted average cost of capital provided by the regulator</t>
  </si>
  <si>
    <t>Name of the workbook</t>
  </si>
  <si>
    <t>Amount of mineral expected to be shipped</t>
  </si>
  <si>
    <t>This section shows standard formatting used throughout this model</t>
  </si>
  <si>
    <t>This section outlines the model flow at a high level</t>
  </si>
  <si>
    <t>Helpful hint for a common error</t>
  </si>
  <si>
    <t>Please follow the following steps when using this model</t>
  </si>
  <si>
    <t>Any assumptions made in constructing the mode in regards to the rail network</t>
  </si>
  <si>
    <t>Any assumptions made in constructing the mode in regards to assets in general</t>
  </si>
  <si>
    <t>This section contains general - global type inputs</t>
  </si>
  <si>
    <t>The following table outlines the efficient capacities of the TPI network</t>
  </si>
  <si>
    <t>This table contains critical information about customers on the network</t>
  </si>
  <si>
    <t>Details pertaining to the segments on the rail network</t>
  </si>
  <si>
    <t>3.1.4</t>
  </si>
  <si>
    <t>The annuity calculation applies a straight line "Payment" method which provides for a return of capital (depreciation) and the return of capital in the annuity payment</t>
  </si>
  <si>
    <t>Determination of operating costs</t>
  </si>
  <si>
    <t>Definition of operating costs</t>
  </si>
  <si>
    <t>Efficient cost test</t>
  </si>
  <si>
    <t>Efficient costs are used as inputs to the model</t>
  </si>
  <si>
    <t>Allocation of operating costs</t>
  </si>
  <si>
    <t>Allocation of costs is in accordance with Costing Principles Attachment B</t>
  </si>
  <si>
    <t>These allocators are included in the "Data" sheet under the "allocation method" as specified in the Rail Operating Cost Inputs</t>
  </si>
  <si>
    <t>Overhead costs</t>
  </si>
  <si>
    <t>Definition of Overhead Costs</t>
  </si>
  <si>
    <t>Allocation of overhead costs</t>
  </si>
  <si>
    <t>Other Matters</t>
  </si>
  <si>
    <t>Indexation of floor and ceiling</t>
  </si>
  <si>
    <t>Indexation is applied in the model as follows:</t>
  </si>
  <si>
    <t>Calculation of floor and ceiling</t>
  </si>
  <si>
    <t>The Costing Principles require one regulatory ceiling for all access seekers</t>
  </si>
  <si>
    <t>The ceiling calculations are presented in the "Rail Cost Summary" sheet</t>
  </si>
  <si>
    <t>The Floor Price is calculated on the "Rail Cost Summary" sheet.</t>
  </si>
  <si>
    <t>All there is only presently one sector defined for the rail service, there is only one floor price.</t>
  </si>
  <si>
    <t xml:space="preserve">Capital costs necessary to expand the service to meet the needs of a customer can be entered in the Capital Cost inputs, </t>
  </si>
  <si>
    <t>Rail Reg Reqs</t>
  </si>
  <si>
    <t>This sheet shows a summary of some of the key outtakes from the agreed costing principles</t>
  </si>
  <si>
    <t>This model has a specific way in which you need to use it - Steps for use are as follows:</t>
  </si>
  <si>
    <t>1) Input Data on the Data worksheet.</t>
  </si>
  <si>
    <t>2) Allocate which segments each of your customers will be using on the Switching worksheet.</t>
  </si>
  <si>
    <t>3) Check the Smart Data worksheet to ensure the inputs you have just submitted make logical sense</t>
  </si>
  <si>
    <t>4) Check the Global Error Check worksheet to ensure that the model has no errors.</t>
  </si>
  <si>
    <t>5) Check the appropriate output sheet for the information that you require.</t>
  </si>
  <si>
    <t>This column represents the number of KM's of track used by a customer if they where to use the haulage service</t>
  </si>
  <si>
    <t>This column contains the estimated customer tonnes for the year</t>
  </si>
  <si>
    <t>This column contains the number of trains the customer estimates they will use in a year</t>
  </si>
  <si>
    <t>Inflation that is applied throughout the model</t>
  </si>
  <si>
    <t>The date at which the model begins from</t>
  </si>
  <si>
    <t>The name of the model that is placed on the top of every sheet</t>
  </si>
  <si>
    <t>Name for rail segment #1</t>
  </si>
  <si>
    <t>Name for rail segment #10</t>
  </si>
  <si>
    <t>Name for rail segment #11</t>
  </si>
  <si>
    <t>Name for rail segment #12</t>
  </si>
  <si>
    <t>Name for rail segment #13</t>
  </si>
  <si>
    <t>Name for rail segment #14</t>
  </si>
  <si>
    <t>Name for rail segment #15</t>
  </si>
  <si>
    <t>Name for rail segment #16</t>
  </si>
  <si>
    <t>Name for rail segment #17</t>
  </si>
  <si>
    <t>Name for rail segment #18</t>
  </si>
  <si>
    <t>Name for rail segment #19</t>
  </si>
  <si>
    <t>Name for rail segment #20</t>
  </si>
  <si>
    <t>Name for rail segment #2</t>
  </si>
  <si>
    <t>Name for rail segment #3</t>
  </si>
  <si>
    <t>Name for rail segment #4</t>
  </si>
  <si>
    <t>Name for rail segment #5</t>
  </si>
  <si>
    <t>Name for rail segment #6</t>
  </si>
  <si>
    <t>Name for rail segment #7</t>
  </si>
  <si>
    <t>Name for rail segment #8</t>
  </si>
  <si>
    <t>Name for rail segment #9</t>
  </si>
  <si>
    <t>Segment Used</t>
  </si>
  <si>
    <t>Global Error Check Sheet</t>
  </si>
  <si>
    <t>Global Error Check</t>
  </si>
  <si>
    <t>Global Summary</t>
  </si>
  <si>
    <t>This sheet contains no errors - Located in cell A1 on selected sheets</t>
  </si>
  <si>
    <r>
      <t xml:space="preserve">This sheet </t>
    </r>
    <r>
      <rPr>
        <b/>
        <sz val="8"/>
        <rFont val="Verdana"/>
        <family val="2"/>
      </rPr>
      <t>contains errors</t>
    </r>
    <r>
      <rPr>
        <sz val="8"/>
        <rFont val="Verdana"/>
        <family val="2"/>
      </rPr>
      <t xml:space="preserve"> - Located in cell A1 on selected sheets</t>
    </r>
  </si>
  <si>
    <t>Rail Asset Calcs</t>
  </si>
  <si>
    <t>railmin1seg</t>
  </si>
  <si>
    <t>railscalehead</t>
  </si>
  <si>
    <t>railswitch</t>
  </si>
  <si>
    <t>railswitchhead</t>
  </si>
  <si>
    <t>Workbook Name</t>
  </si>
  <si>
    <t>workbookname</t>
  </si>
  <si>
    <t>Range Start</t>
  </si>
  <si>
    <t>Reference</t>
  </si>
  <si>
    <t>Cell Formatting</t>
  </si>
  <si>
    <t>Input Cell</t>
  </si>
  <si>
    <t>Validation (Drop Down Menu) Cell</t>
  </si>
  <si>
    <t>Calculation Cell</t>
  </si>
  <si>
    <t xml:space="preserve">Totals </t>
  </si>
  <si>
    <t>1234          or</t>
  </si>
  <si>
    <t>Hyperlinking New</t>
  </si>
  <si>
    <t>Model Structure</t>
  </si>
  <si>
    <t>The model has been built in a logical flow from left to right top to bottom whenever possible. This means data input first, calculations second, output third.</t>
  </si>
  <si>
    <t>Potential Errors and Resolutions</t>
  </si>
  <si>
    <t>#name error</t>
  </si>
  <si>
    <t>Go to the Tools menu</t>
  </si>
  <si>
    <t>Select the add-ins sub menu (some versions of excel will require you to expand the tools menu to see this sub item)</t>
  </si>
  <si>
    <t xml:space="preserve">Select all add-ins available to your excel. Even though all will not be used for this model, it will mean possible problems with future models are resolved. </t>
  </si>
  <si>
    <t>Press Ok.</t>
  </si>
  <si>
    <t>The workbook should now recalculate. If it does not Press F9 to manually recalculate the workbook.</t>
  </si>
  <si>
    <t>This should clear all #name errors. If #name errors still exist the version of the model you are working on is corrupt or you accidentally missed the tick box for the add-in which #name is controlled by.</t>
  </si>
  <si>
    <t>If this is your first time opening the model on this computer and your use excel 2003 - then there are a few steps the model requires you to perform to ensure no #name errors exist.</t>
  </si>
  <si>
    <t>Name for customer # 1</t>
  </si>
  <si>
    <t>Name for customer # 2</t>
  </si>
  <si>
    <t>Name for customer # 3</t>
  </si>
  <si>
    <t>Name for customer # 4</t>
  </si>
  <si>
    <t>Name for customer # 5</t>
  </si>
  <si>
    <t>Name for customer # 6</t>
  </si>
  <si>
    <t>Name for customer # 7</t>
  </si>
  <si>
    <t>Name for customer # 8</t>
  </si>
  <si>
    <t>Customer data table</t>
  </si>
  <si>
    <t>Customer data tables total line</t>
  </si>
  <si>
    <t>Customer haulage switch column from customer data table</t>
  </si>
  <si>
    <t>List of customer names</t>
  </si>
  <si>
    <t>Data table for the length of railway used by customer</t>
  </si>
  <si>
    <t>Header for the data table that shows the length of railway used by customers</t>
  </si>
  <si>
    <t>Data table showing each customers tonnage per segment on the railway</t>
  </si>
  <si>
    <t>Header for the data table showing each customers tonnage per segment on the railway</t>
  </si>
  <si>
    <t>Data table showing use of segments per customer on the railway</t>
  </si>
  <si>
    <t>Header of the data table showing use of segments per customer on the railway</t>
  </si>
  <si>
    <t>General Model Inputs</t>
  </si>
  <si>
    <t>Model Start Date</t>
  </si>
  <si>
    <t>modelstart</t>
  </si>
  <si>
    <t>Mine Reserve Size</t>
  </si>
  <si>
    <t>reserve</t>
  </si>
  <si>
    <t>Estimated Shipping Amount</t>
  </si>
  <si>
    <t>shipest</t>
  </si>
  <si>
    <t>Reserve Depletion Date</t>
  </si>
  <si>
    <t>reservedep</t>
  </si>
  <si>
    <t>Inflation</t>
  </si>
  <si>
    <t>inflation</t>
  </si>
  <si>
    <t>WACC (Nominal Pre Tax)</t>
  </si>
  <si>
    <t>wacc</t>
  </si>
  <si>
    <t>Efficient Infrastructure Capacity</t>
  </si>
  <si>
    <t>Railway</t>
  </si>
  <si>
    <t>Tonnes</t>
  </si>
  <si>
    <t>Trains</t>
  </si>
  <si>
    <t>effcapacity</t>
  </si>
  <si>
    <t>Per Year</t>
  </si>
  <si>
    <t>Rail Segments</t>
  </si>
  <si>
    <t>All</t>
  </si>
  <si>
    <t>Equal Split</t>
  </si>
  <si>
    <t>Segment Active</t>
  </si>
  <si>
    <t>Route Name 1</t>
  </si>
  <si>
    <t>Yes</t>
  </si>
  <si>
    <t>rail1</t>
  </si>
  <si>
    <t>Route Name 2</t>
  </si>
  <si>
    <t>rail2</t>
  </si>
  <si>
    <t>Route Name 3</t>
  </si>
  <si>
    <t>rail3</t>
  </si>
  <si>
    <t>Route Name 4</t>
  </si>
  <si>
    <t>rail4</t>
  </si>
  <si>
    <t>Route Name 5</t>
  </si>
  <si>
    <t>rail5</t>
  </si>
  <si>
    <t>Route Name 6</t>
  </si>
  <si>
    <t>rail6</t>
  </si>
  <si>
    <t>Route Name 7</t>
  </si>
  <si>
    <t>rail7</t>
  </si>
  <si>
    <t>Route Name 8</t>
  </si>
  <si>
    <t>rail8</t>
  </si>
  <si>
    <t>Route Name 9</t>
  </si>
  <si>
    <t>rail9</t>
  </si>
  <si>
    <t>Route Name 10</t>
  </si>
  <si>
    <t>rail10</t>
  </si>
  <si>
    <t>Route Name 11</t>
  </si>
  <si>
    <t>rail11</t>
  </si>
  <si>
    <t>Route Name 12</t>
  </si>
  <si>
    <t>No</t>
  </si>
  <si>
    <t>rail12</t>
  </si>
  <si>
    <t>Route Name 13</t>
  </si>
  <si>
    <t>rail13</t>
  </si>
  <si>
    <t>Route Name 14</t>
  </si>
  <si>
    <t>rail14</t>
  </si>
  <si>
    <t>Route Name 15</t>
  </si>
  <si>
    <t>rail15</t>
  </si>
  <si>
    <t>Route Name 16</t>
  </si>
  <si>
    <t>rail16</t>
  </si>
  <si>
    <t>Route Name 17</t>
  </si>
  <si>
    <t>rail17</t>
  </si>
  <si>
    <t>Route Name 18</t>
  </si>
  <si>
    <t>Route 18</t>
  </si>
  <si>
    <t>rail18</t>
  </si>
  <si>
    <t>Route Name 19</t>
  </si>
  <si>
    <t>Route 19</t>
  </si>
  <si>
    <t>rail19</t>
  </si>
  <si>
    <t>Route Name 20</t>
  </si>
  <si>
    <t>Route 20</t>
  </si>
  <si>
    <t>rail20</t>
  </si>
  <si>
    <t>Totals</t>
  </si>
  <si>
    <t>Metres</t>
  </si>
  <si>
    <t>raillength</t>
  </si>
  <si>
    <t>railsegments</t>
  </si>
  <si>
    <t>Other 15</t>
  </si>
  <si>
    <t>Rail Operating Costs</t>
  </si>
  <si>
    <t>Direct</t>
  </si>
  <si>
    <t>Train KM</t>
  </si>
  <si>
    <t>railcosts</t>
  </si>
  <si>
    <t>Rail Capital Expenditure</t>
  </si>
  <si>
    <t>railcapcust</t>
  </si>
  <si>
    <t>railcapcomp</t>
  </si>
  <si>
    <t>Project Name</t>
  </si>
  <si>
    <t>Customer</t>
  </si>
  <si>
    <t>Completion Date</t>
  </si>
  <si>
    <t>Useful Life</t>
  </si>
  <si>
    <t>Amount</t>
  </si>
  <si>
    <t>Annuity</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</si>
  <si>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</si>
  <si>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</si>
  <si>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</si>
  <si>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</si>
  <si>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</si>
  <si>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</si>
  <si>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</si>
  <si>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</si>
  <si>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</si>
  <si>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</si>
  <si>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</si>
  <si>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</si>
  <si>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</si>
  <si>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</si>
  <si>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</si>
  <si>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Asset ID</t>
  </si>
  <si>
    <t>Asset Name</t>
  </si>
  <si>
    <t>Leased/Owned</t>
  </si>
  <si>
    <t>GRV</t>
  </si>
  <si>
    <t>Lease Expenses</t>
  </si>
  <si>
    <t>Owned</t>
  </si>
  <si>
    <t>Rail Assets</t>
  </si>
  <si>
    <t>50W UHF Base Station Communica</t>
  </si>
  <si>
    <t>Amtech Transponder Tag AT5113</t>
  </si>
  <si>
    <t>Ballast Superlift</t>
  </si>
  <si>
    <t>BHP Overpass</t>
  </si>
  <si>
    <t>CB to PH Rail Access Road</t>
  </si>
  <si>
    <t>CB to PH Rail Ballast</t>
  </si>
  <si>
    <t>CB to PH Rail Earth Works</t>
  </si>
  <si>
    <t>CB to PH Railway Line</t>
  </si>
  <si>
    <t>CB to PH Rock Armour</t>
  </si>
  <si>
    <t>PH to CB Railway Sleepers</t>
  </si>
  <si>
    <t>Port Leaky Feeder in TUL Tunne</t>
  </si>
  <si>
    <t>Rail Culverts</t>
  </si>
  <si>
    <t>Rail Signals and Communication</t>
  </si>
  <si>
    <t>Signals for HBI Crossing</t>
  </si>
  <si>
    <t>Water Bores along Rail Line</t>
  </si>
  <si>
    <t>Wayside Signals</t>
  </si>
  <si>
    <t>Rail Turnouts CB to Port</t>
  </si>
  <si>
    <t>Relay Train Control</t>
  </si>
  <si>
    <t>Implement Train Controls in FM</t>
  </si>
  <si>
    <t>Supply of Test and Monitoring</t>
  </si>
  <si>
    <t>Supply of Portable Office and</t>
  </si>
  <si>
    <t>Gantry and Shotblast Equipment</t>
  </si>
  <si>
    <t>Sealed Roadways</t>
  </si>
  <si>
    <t>Traction Alternator</t>
  </si>
  <si>
    <t>7FDL Engine &amp; Alternator Lifti</t>
  </si>
  <si>
    <t>Occupational Hygeine Monitorin</t>
  </si>
  <si>
    <t>Light Vehicles refuelling stat</t>
  </si>
  <si>
    <t>Ceiling and, in some instance, floor costs, will include a capital charge intended to reflect the cost of establishing and replacing infrastructure capacity over time.</t>
  </si>
  <si>
    <t>Customer 2</t>
  </si>
  <si>
    <t>Customer 3</t>
  </si>
  <si>
    <t>Route 2</t>
  </si>
  <si>
    <t>Route 3</t>
  </si>
  <si>
    <t>Route 4</t>
  </si>
  <si>
    <t>Route 5</t>
  </si>
  <si>
    <t>Route 6</t>
  </si>
  <si>
    <t>Route 7</t>
  </si>
  <si>
    <t>Route 8</t>
  </si>
  <si>
    <t>Route 9</t>
  </si>
  <si>
    <t>Route 10</t>
  </si>
  <si>
    <t>Route 11</t>
  </si>
  <si>
    <t>Route 12</t>
  </si>
  <si>
    <t>Route 13</t>
  </si>
  <si>
    <t>Route 14</t>
  </si>
  <si>
    <t>Route 15</t>
  </si>
  <si>
    <t>Route 16</t>
  </si>
  <si>
    <t>Route 17</t>
  </si>
  <si>
    <t>Cloudbreak to Port Dumper</t>
  </si>
  <si>
    <t>Ballast</t>
  </si>
  <si>
    <t>1792-1816</t>
  </si>
  <si>
    <t>Comms Towers</t>
  </si>
  <si>
    <t>33/35</t>
  </si>
  <si>
    <t>Ancilliary and Support Plant</t>
  </si>
  <si>
    <t>Curves &lt; 400'</t>
  </si>
  <si>
    <t>102.01-102.11</t>
  </si>
  <si>
    <t>102.12-102.22</t>
  </si>
  <si>
    <t>Curves 400&gt;&lt;800'</t>
  </si>
  <si>
    <t>1359-1372</t>
  </si>
  <si>
    <t>Radio Base Stations</t>
  </si>
  <si>
    <t>Economic Life</t>
  </si>
  <si>
    <t>Support</t>
  </si>
  <si>
    <t>O'Head</t>
  </si>
  <si>
    <t>Other 7</t>
  </si>
  <si>
    <t>Other 8</t>
  </si>
  <si>
    <t>Other 9</t>
  </si>
  <si>
    <t>Other 10</t>
  </si>
  <si>
    <t>Other 11</t>
  </si>
  <si>
    <t>Other 12</t>
  </si>
  <si>
    <t>Other 13</t>
  </si>
  <si>
    <t>Other 14</t>
  </si>
  <si>
    <t>Bridges</t>
  </si>
  <si>
    <t>Workshop and Yard Facilities</t>
  </si>
  <si>
    <t>10,11,256,257,258,306,307,1334,1380,1381,1772</t>
  </si>
</sst>
</file>

<file path=xl/styles.xml><?xml version="1.0" encoding="utf-8"?>
<styleSheet xmlns="http://schemas.openxmlformats.org/spreadsheetml/2006/main">
  <numFmts count="1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 #,##0_);_(* \(#,##0\);_(* &quot;-&quot;_);_(@_)"/>
    <numFmt numFmtId="167" formatCode="_(* #,##0.00_);_(* \(#,##0.00\);_(* &quot;-&quot;??_);_(@_)"/>
    <numFmt numFmtId="168" formatCode="_-* #,##0_-;\-* #,##0_-;_-* &quot;-&quot;??_-;_-@_-"/>
    <numFmt numFmtId="169" formatCode="_(* #,##0.0_);_(* \(#,##0.0\);_(* &quot;-&quot;??_);_(@_)"/>
    <numFmt numFmtId="170" formatCode="_(* #,##0_);_(* \(#,##0\);_(* &quot;-&quot;??_);_(@_)"/>
    <numFmt numFmtId="171" formatCode="0.0%"/>
    <numFmt numFmtId="172" formatCode="&quot;Yes&quot;;&quot;Yes&quot;;&quot;No&quot;"/>
    <numFmt numFmtId="173" formatCode="0.000"/>
    <numFmt numFmtId="174" formatCode="_(* #,##0.0_);_(* \(#,##0.0\);_(* &quot;-&quot;_);_(@_)"/>
    <numFmt numFmtId="175" formatCode="d/mm/yyyy;@"/>
    <numFmt numFmtId="176" formatCode="_(&quot;$&quot;* #,##0_);_(&quot;$&quot;* \(#,##0\);_(&quot;$&quot;* &quot;-&quot;??_);_(@_)"/>
    <numFmt numFmtId="177" formatCode="_(&quot;$&quot;* #,##0,\ &quot;k&quot;_);_(&quot;$&quot;* \(#,##0,\ &quot;k&quot;\);_(&quot;$&quot;* &quot;-&quot;??_);_(@_)"/>
    <numFmt numFmtId="178" formatCode="_(&quot;$&quot;* #,##0,,\ &quot;M&quot;_);_(&quot;$&quot;* \(#,##0,,\ &quot;M&quot;\);_(&quot;$&quot;* &quot;-&quot;??_);_(@_)"/>
    <numFmt numFmtId="179" formatCode="&quot;$&quot;\ #,##0&quot;/a&quot;;&quot;$&quot;\ \-#,##0&quot;/a&quot;;&quot;-&quot;"/>
    <numFmt numFmtId="180" formatCode="&quot;$&quot;\ #,##0&quot;/m&quot;;&quot;$&quot;\ \-#,##0&quot;/m&quot;;&quot;-&quot;"/>
    <numFmt numFmtId="181" formatCode="&quot;$&quot;\ #,##0&quot;/w&quot;;&quot;$&quot;\ \-#,##0&quot;/w&quot;;&quot;-&quot;"/>
    <numFmt numFmtId="182" formatCode="0.0%&quot;/a&quot;;\-0.0%&quot;/a&quot;;&quot;-&quot;"/>
    <numFmt numFmtId="183" formatCode="0.0%;\-0.0%"/>
    <numFmt numFmtId="184" formatCode="dd/mm/yy"/>
    <numFmt numFmtId="185" formatCode="#,##0\x_);\(#,##0\x\);#,##0\x_)"/>
    <numFmt numFmtId="186" formatCode="#,##0%_);\(#,##0%\);#,##0%_)"/>
    <numFmt numFmtId="187" formatCode="###0_);\(###0\);###0_)"/>
    <numFmt numFmtId="188" formatCode="_(&quot;$&quot;#,##0.0_);\(&quot;$&quot;#,##0.0\);_(&quot;-&quot;_)"/>
    <numFmt numFmtId="189" formatCode="_(#,##0.0\x_);\(#,##0.0\x\);_(&quot;-&quot;_)"/>
    <numFmt numFmtId="190" formatCode="_(#,##0.0_);\(#,##0.0\);_(&quot;-&quot;_)"/>
    <numFmt numFmtId="191" formatCode="_(#,##0.0%_);\(#,##0.0%\);_(&quot;-&quot;_)"/>
    <numFmt numFmtId="192" formatCode="_(###0_);\(###0\);_(###0_)"/>
    <numFmt numFmtId="193" formatCode="_(* &quot;$&quot;#,##0_)_;;_(* \(&quot;$&quot;#,##0\)_;;_(* &quot;$&quot;#,##0_)_;"/>
    <numFmt numFmtId="194" formatCode="d/m/yy__;"/>
    <numFmt numFmtId="195" formatCode="_(* #,##0\x_)_;;_(* \(#,##0\x\)_;;_(* #,##0\x_)_;"/>
    <numFmt numFmtId="196" formatCode="_(* #,##0_)_;;_(* \(#,##0\)_;;_(* #,##0_)_;"/>
    <numFmt numFmtId="197" formatCode="_(* #,##0%_)_;;_(* \(#,##0%\)_;;_(* #,##0%_)_;"/>
    <numFmt numFmtId="198" formatCode="###0_)_;;\(###0\)_;;###0_)_;"/>
    <numFmt numFmtId="199" formatCode="&quot;$&quot;#,##0;\(&quot;$&quot;#,##0\);&quot;$&quot;#,##0"/>
    <numFmt numFmtId="200" formatCode="d/m/yy"/>
    <numFmt numFmtId="201" formatCode="#,##0\x;\(#,##0\x\);#,##0\x"/>
    <numFmt numFmtId="202" formatCode="#,##0;\(#,##0\)"/>
    <numFmt numFmtId="203" formatCode="#,##0%;\(#,##0%\);#,##0%"/>
    <numFmt numFmtId="204" formatCode="###0;\(###0\);###0"/>
    <numFmt numFmtId="205" formatCode="_)d\-mmm\-yy_)"/>
    <numFmt numFmtId="206" formatCode="\$\ #,##0.00;\$\ \-#,##0.00;&quot;-&quot;"/>
    <numFmt numFmtId="207" formatCode="\$\ #,##0.00&quot; /d&quot;;\-\$\ #,##0.00&quot; /d&quot;;&quot;-&quot;"/>
    <numFmt numFmtId="208" formatCode="\$\ #,##0.00&quot; /m&quot;;\-\$\ #,##0.00&quot; /m&quot;;&quot;-&quot;"/>
    <numFmt numFmtId="209" formatCode="\$\ #,##0.00&quot; /m2&quot;;\-\$\ #,##0.00&quot; /m2&quot;;&quot;-&quot;"/>
    <numFmt numFmtId="210" formatCode="&quot;$&quot;\ #,##0.00&quot;/m3&quot;;\-&quot;$&quot;\ #,##0.00&quot;/m3&quot;;&quot;-&quot;"/>
    <numFmt numFmtId="211" formatCode="\$\ #,##0.00&quot; /mth&quot;;\-\$\ #,##0.00&quot; /mth&quot;;&quot;-&quot;"/>
    <numFmt numFmtId="212" formatCode="\$\ #,##0.0&quot;m&quot;;\$\ \-#,##0.0&quot;m&quot;;&quot;-&quot;"/>
    <numFmt numFmtId="213" formatCode="#,##0;&quot;(&quot;#,##0&quot;)&quot;;&quot;-&quot;"/>
    <numFmt numFmtId="214" formatCode="[Blue]#,##0;[Red]&quot;(&quot;#,##0&quot;)&quot;;&quot;-&quot;"/>
    <numFmt numFmtId="215" formatCode="_-* #,##0.00_-;\(#,##0.00\);_-* &quot;-&quot;_-"/>
    <numFmt numFmtId="216" formatCode="_-&quot;$&quot;* #,##0_-;\-&quot;$&quot;* #,##0_-;_-&quot;$&quot;* &quot;-&quot;??_-;_-@_-"/>
    <numFmt numFmtId="217" formatCode="#,##0_ ;\-#,##0\ "/>
    <numFmt numFmtId="218" formatCode="#,##0.00&quot; c/aandeel&quot;;\-#,##0.00&quot; c/aandeel&quot;;&quot;-&quot;"/>
    <numFmt numFmtId="219" formatCode="#,##0.00&quot; cps&quot;;\-#,##0.00&quot; cps&quot;;&quot;-&quot;"/>
    <numFmt numFmtId="220" formatCode="&quot;$&quot;\ #,##0.00;\-&quot;$&quot;\ #,##0.00;&quot;$&quot;\ 0.00;@"/>
    <numFmt numFmtId="221" formatCode="#,##0&quot; dae&quot;;&quot;!&quot;;&quot;-&quot;"/>
    <numFmt numFmtId="222" formatCode="mmm\ yyyy;;&quot;-&quot;"/>
    <numFmt numFmtId="223" formatCode="#,##0.0;[Red]\(#,##0.0\);\-"/>
    <numFmt numFmtId="224" formatCode="d\ mmm\ yy"/>
    <numFmt numFmtId="225" formatCode="mmm\ yy"/>
    <numFmt numFmtId="226" formatCode="dd\ mmm\ yyyy"/>
    <numFmt numFmtId="227" formatCode="d/mm/yy;@"/>
    <numFmt numFmtId="228" formatCode="yyyy/mm/dd;;&quot;-&quot;"/>
    <numFmt numFmtId="229" formatCode="dd/mm/yyyy;;&quot;-&quot;"/>
    <numFmt numFmtId="230" formatCode="#,##0&quot; days&quot;;&quot;!&quot;;&quot;-&quot;"/>
    <numFmt numFmtId="231" formatCode="#,##0;\-#,##0;0"/>
    <numFmt numFmtId="232" formatCode="#,##0.00;\-#,##0.00;0.00"/>
    <numFmt numFmtId="233" formatCode="#,##0.000;\-#,##0.000;\-"/>
    <numFmt numFmtId="234" formatCode="#,##0.0000;\-#,##0.0000;0.0000"/>
    <numFmt numFmtId="235" formatCode="#,##0.00\ ;[Red]\(#,##0.00\);&quot;-&quot;??"/>
    <numFmt numFmtId="236" formatCode="#,##0.000\ ;[Red]\(#,##0.000\);&quot;-&quot;??"/>
    <numFmt numFmtId="237" formatCode="#,##0.0\ ;[Red]\(#,##0.0\);&quot;-&quot;??"/>
    <numFmt numFmtId="238" formatCode="#,##0.000_);\(#,##0.000\);&quot;-  &quot;;@_)"/>
    <numFmt numFmtId="239" formatCode="_-[$€-2]* #,##0.00_-;\-[$€-2]* #,##0.00_-;_-[$€-2]* &quot;-&quot;??_-"/>
    <numFmt numFmtId="240" formatCode="dd/mm/yy__;"/>
    <numFmt numFmtId="241" formatCode="0.0%&quot; Fe&quot;"/>
    <numFmt numFmtId="242" formatCode="General&quot; g&quot;;\-General&quot; g&quot;;&quot;-&quot;"/>
    <numFmt numFmtId="243" formatCode="#,##0.0&quot; g&quot;;\-#,##0.0&quot; g&quot;;&quot;-&quot;"/>
    <numFmt numFmtId="244" formatCode="#,##0_ ;\(#,##0\)_-;&quot;-&quot;"/>
    <numFmt numFmtId="245" formatCode="\ ;\ ;"/>
    <numFmt numFmtId="246" formatCode="_-#,##0&quot; hours&quot;"/>
    <numFmt numFmtId="247" formatCode="_(* &quot;$&quot;#,##0_)_;;[Blue]_(* \(&quot;$&quot;#,##0\)_;;_(* &quot;$&quot;#,##0_)_;"/>
    <numFmt numFmtId="248" formatCode="_(* #,##0\x_)_;;[Blue]_(* \(#,##0\x\)_;;_(* #,##0\x_)_;"/>
    <numFmt numFmtId="249" formatCode="_(* #,##0_)_;;[Blue]_(* \(#,##0\)_;;_(* #,##0_)_;"/>
    <numFmt numFmtId="250" formatCode="_(* #,##0%_)_;;[Blue]_(* \(#,##0%\)_;;_(* #,##0%_)_;"/>
    <numFmt numFmtId="251" formatCode="0.0%;\-0.0%;&quot;-&quot;"/>
    <numFmt numFmtId="252" formatCode="#,##0.0&quot; kg&quot;;\-#,##0.0&quot; kg&quot;;&quot;-&quot;"/>
    <numFmt numFmtId="253" formatCode="0&quot;m&quot;;\-0&quot;m&quot;;&quot;-&quot;"/>
    <numFmt numFmtId="254" formatCode="0.0&quot;mm&quot;;\-0.0&quot;mm&quot;;&quot;-&quot;"/>
    <numFmt numFmtId="255" formatCode="#,##0.0\ ;\(#,##0.0\);&quot;-&quot;??"/>
    <numFmt numFmtId="256" formatCode="#,##0&quot; ℓ&quot;;\-#,##0&quot; ℓ&quot;;&quot;-&quot;"/>
    <numFmt numFmtId="257" formatCode="_(#,##0_);\(#,##0\);_(&quot;-&quot;_)"/>
    <numFmt numFmtId="258" formatCode="#,##0_);[Blue]\(#,##0\);#,##0_)"/>
    <numFmt numFmtId="259" formatCode="#,##0.000&quot;m&quot;;\-#,##0.000&quot;m&quot;;&quot;-&quot;"/>
    <numFmt numFmtId="260" formatCode="#,##0.00&quot;m2&quot;;\-#,##0.00&quot;m2&quot;;&quot;-&quot;"/>
    <numFmt numFmtId="261" formatCode="#,##0.00&quot;m3&quot;;\-#,##0.00&quot;m3&quot;;&quot;-&quot;"/>
    <numFmt numFmtId="262" formatCode="0\k\g"/>
    <numFmt numFmtId="263" formatCode="_-#,##0.0&quot; max&quot;"/>
    <numFmt numFmtId="264" formatCode="#,##0&quot; mm&quot;;\-#,##0&quot; mm&quot;;&quot;-&quot;"/>
    <numFmt numFmtId="265" formatCode="mmm\ yy;&quot;!!&quot;;&quot;-&quot;"/>
    <numFmt numFmtId="266" formatCode="mmm"/>
    <numFmt numFmtId="267" formatCode="&quot;Month &quot;0"/>
    <numFmt numFmtId="268" formatCode="#,##0&quot; months&quot;;&quot;!&quot;;&quot;-&quot;"/>
    <numFmt numFmtId="269" formatCode="General_)"/>
    <numFmt numFmtId="270" formatCode="#,##0.0&quot;Mt&quot;;\-#,##0.0&quot;Mt&quot;;&quot;-&quot;"/>
    <numFmt numFmtId="271" formatCode="#,##0.0&quot;Mt/a&quot;;\-#,##0.0&quot;Mt/a&quot;;&quot;-&quot;"/>
    <numFmt numFmtId="272" formatCode="_-#,##0&quot;MW&quot;"/>
    <numFmt numFmtId="273" formatCode="_-#,##0&quot;MWth&quot;"/>
    <numFmt numFmtId="274" formatCode="&quot;Applicable&quot;;;&quot;NA&quot;"/>
    <numFmt numFmtId="275" formatCode="_ #,###_-;\-\(#,##0\)\-;_-* &quot;0,000&quot;?;_-@_-"/>
    <numFmt numFmtId="276" formatCode="#,##0.00;[Red]\(#,##0.00\)"/>
    <numFmt numFmtId="277" formatCode="0%;\-0%;&quot;-&quot;"/>
    <numFmt numFmtId="278" formatCode="&quot;Period &quot;0"/>
    <numFmt numFmtId="279" formatCode="&quot;Prod yr&quot;\ General;\-&quot;Prod yr&quot;\ General;&quot;-&quot;"/>
    <numFmt numFmtId="280" formatCode="&quot;Proj yr&quot;\ General;\-&quot;Proj yr&quot;\ General;&quot;-&quot;"/>
    <numFmt numFmtId="281" formatCode="&quot;Quarter &quot;0"/>
    <numFmt numFmtId="282" formatCode="0.00\ \ \x"/>
    <numFmt numFmtId="283" formatCode="&quot;R&quot;\ #,##0&quot;/m&quot;;&quot;R&quot;\ \-#,##0&quot;/m&quot;;&quot;-&quot;"/>
    <numFmt numFmtId="284" formatCode="&quot;R&quot;\ #,##0.00&quot;/t&quot;;\-&quot;R&quot;\ #,##0.00&quot;/t&quot;;&quot;-&quot;"/>
    <numFmt numFmtId="285" formatCode="&quot;R&quot;\ #,##0.00&quot;/USD&quot;;\-&quot;R&quot;\ #,##0.00&quot;/USD&quot;;&quot;-&quot;"/>
    <numFmt numFmtId="286" formatCode="0.00&quot;:1&quot;;\-0.00&quot;:1&quot;;&quot;-&quot;"/>
    <numFmt numFmtId="287" formatCode="_(* #,##0.00%_);_(* \(#,##0.00%\);_(* #,##0.00%_);_(@_)"/>
    <numFmt numFmtId="288" formatCode="_-#,##0&quot; t&quot;"/>
    <numFmt numFmtId="289" formatCode="[Red]&quot;!!!!&quot;;[Red]&quot;!!!!&quot;;[Green]&quot;Tests OK&quot;"/>
    <numFmt numFmtId="290" formatCode="&quot;!!&quot;;&quot;!!&quot;;&quot;Toets OK&quot;"/>
    <numFmt numFmtId="291" formatCode="#,##0\ ;[Red]\(#,##0\);&quot;-&quot;??"/>
    <numFmt numFmtId="292" formatCode="#,##0&quot;t&quot;;\-#,##0&quot;t&quot;;&quot;-&quot;"/>
    <numFmt numFmtId="293" formatCode="#,##0&quot;tpa&quot;;\-#,##0&quot;tpa&quot;;&quot;-&quot;"/>
    <numFmt numFmtId="294" formatCode="#,##0&quot;tpd&quot;;\-#,##0&quot;tpd&quot;;&quot;-&quot;"/>
    <numFmt numFmtId="295" formatCode="#,##0&quot;tpm&quot;;\-#,##0&quot;tpm&quot;;&quot;-&quot;"/>
    <numFmt numFmtId="296" formatCode="&quot;USD &quot;#,##0;&quot;USD &quot;\-#,##0;&quot;-&quot;"/>
    <numFmt numFmtId="297" formatCode="&quot;USD&quot;\ #,##0&quot;m&quot;;&quot;USD&quot;\ \-#,##0&quot;m&quot;;&quot;-&quot;"/>
    <numFmt numFmtId="298" formatCode="&quot;USD&quot;\ #,##0.000&quot;m/a&quot;;&quot;USD&quot;\ \-#,##0.000&quot;m/a&quot;;&quot;-&quot;"/>
    <numFmt numFmtId="299" formatCode="&quot;USD &quot;#,##0&quot;/a&quot;;&quot;USD &quot;\-#,##0&quot;/a&quot;;&quot;-&quot;"/>
    <numFmt numFmtId="300" formatCode="&quot;USD&quot;\ #,##0.00&quot;/t&quot;;\-&quot;USD&quot;\ #,##0.00&quot;/t&quot;;&quot;-&quot;"/>
    <numFmt numFmtId="301" formatCode="0&quot;y&quot;;\-0&quot;y&quot;;&quot;-&quot;"/>
    <numFmt numFmtId="302" formatCode="yyyy"/>
    <numFmt numFmtId="303" formatCode="&quot;Year &quot;0"/>
    <numFmt numFmtId="304" formatCode="&quot;Yes&quot;;[Red]&quot;Error&quot;;&quot;No&quot;;[Red]&quot;Error&quot;"/>
    <numFmt numFmtId="305" formatCode="&quot;yes&quot;;&quot;ERROR&quot;;&quot;no&quot;"/>
  </numFmts>
  <fonts count="155">
    <font>
      <sz val="10"/>
      <name val="Arial"/>
      <family val="0"/>
    </font>
    <font>
      <sz val="8"/>
      <name val="Verdana"/>
      <family val="2"/>
    </font>
    <font>
      <b/>
      <sz val="8"/>
      <name val="Verdana"/>
      <family val="2"/>
    </font>
    <font>
      <b/>
      <u val="single"/>
      <sz val="8"/>
      <name val="Verdana"/>
      <family val="2"/>
    </font>
    <font>
      <sz val="8"/>
      <color indexed="12"/>
      <name val="Verdana"/>
      <family val="2"/>
    </font>
    <font>
      <u val="single"/>
      <sz val="8"/>
      <name val="Verdana"/>
      <family val="2"/>
    </font>
    <font>
      <b/>
      <u val="single"/>
      <sz val="10"/>
      <name val="Verdana"/>
      <family val="2"/>
    </font>
    <font>
      <sz val="11"/>
      <color indexed="8"/>
      <name val="Calibri"/>
      <family val="2"/>
    </font>
    <font>
      <sz val="11"/>
      <color indexed="9"/>
      <name val="Calibri"/>
      <family val="2"/>
    </font>
    <font>
      <b/>
      <sz val="10"/>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i/>
      <sz val="8"/>
      <name val="Verdana"/>
      <family val="2"/>
    </font>
    <font>
      <b/>
      <sz val="8"/>
      <color indexed="10"/>
      <name val="Verdana"/>
      <family val="2"/>
    </font>
    <font>
      <sz val="8"/>
      <color indexed="8"/>
      <name val="Verdana"/>
      <family val="2"/>
    </font>
    <font>
      <b/>
      <sz val="12"/>
      <color indexed="8"/>
      <name val="Verdana"/>
      <family val="2"/>
    </font>
    <font>
      <b/>
      <u val="single"/>
      <sz val="9"/>
      <name val="Verdana"/>
      <family val="2"/>
    </font>
    <font>
      <u val="single"/>
      <sz val="10"/>
      <color indexed="12"/>
      <name val="Arial"/>
      <family val="2"/>
    </font>
    <font>
      <u val="single"/>
      <sz val="10"/>
      <color indexed="36"/>
      <name val="Arial"/>
      <family val="2"/>
    </font>
    <font>
      <u val="single"/>
      <sz val="8"/>
      <color indexed="12"/>
      <name val="Verdana"/>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Verdana"/>
      <family val="2"/>
    </font>
    <font>
      <sz val="10"/>
      <name val="Verdana"/>
      <family val="2"/>
    </font>
    <font>
      <sz val="10"/>
      <name val="Palatino"/>
      <family val="1"/>
    </font>
    <font>
      <sz val="11"/>
      <name val="Arial Narrow"/>
      <family val="2"/>
    </font>
    <font>
      <sz val="11"/>
      <color indexed="10"/>
      <name val="Arial Narrow"/>
      <family val="2"/>
    </font>
    <font>
      <sz val="10"/>
      <name val="Helv"/>
      <family val="0"/>
    </font>
    <font>
      <sz val="10"/>
      <name val="Geneva"/>
      <family val="0"/>
    </font>
    <font>
      <sz val="12"/>
      <name val="Weiss"/>
      <family val="0"/>
    </font>
    <font>
      <b/>
      <sz val="10"/>
      <color indexed="55"/>
      <name val="Arial"/>
      <family val="2"/>
    </font>
    <font>
      <b/>
      <sz val="10"/>
      <color indexed="9"/>
      <name val="Arial"/>
      <family val="2"/>
    </font>
    <font>
      <b/>
      <sz val="12"/>
      <color indexed="9"/>
      <name val="Arial"/>
      <family val="2"/>
    </font>
    <font>
      <sz val="10"/>
      <color indexed="9"/>
      <name val="Arial"/>
      <family val="2"/>
    </font>
    <font>
      <b/>
      <sz val="11"/>
      <name val="Arial"/>
      <family val="2"/>
    </font>
    <font>
      <sz val="10"/>
      <color indexed="12"/>
      <name val="Arial"/>
      <family val="2"/>
    </font>
    <font>
      <sz val="8"/>
      <color indexed="60"/>
      <name val="Arial"/>
      <family val="2"/>
    </font>
    <font>
      <sz val="10"/>
      <name val="Arial CE"/>
      <family val="2"/>
    </font>
    <font>
      <sz val="10"/>
      <name val="Arial Narrow"/>
      <family val="2"/>
    </font>
    <font>
      <sz val="10"/>
      <name val="Times New Roman"/>
      <family val="1"/>
    </font>
    <font>
      <sz val="9"/>
      <name val="Times New Roman"/>
      <family val="1"/>
    </font>
    <font>
      <sz val="7"/>
      <name val="TarzanaNarrow"/>
      <family val="0"/>
    </font>
    <font>
      <sz val="10"/>
      <name val="BERNHARD"/>
      <family val="0"/>
    </font>
    <font>
      <sz val="10"/>
      <color indexed="14"/>
      <name val="Arial"/>
      <family val="2"/>
    </font>
    <font>
      <b/>
      <sz val="14"/>
      <color indexed="60"/>
      <name val="Arial"/>
      <family val="2"/>
    </font>
    <font>
      <b/>
      <sz val="11"/>
      <color indexed="12"/>
      <name val="Arial"/>
      <family val="2"/>
    </font>
    <font>
      <b/>
      <sz val="8"/>
      <color indexed="29"/>
      <name val="Arial"/>
      <family val="2"/>
    </font>
    <font>
      <sz val="11"/>
      <color indexed="12"/>
      <name val="Arial Narrow"/>
      <family val="2"/>
    </font>
    <font>
      <sz val="10"/>
      <color indexed="62"/>
      <name val="Arial"/>
      <family val="2"/>
    </font>
    <font>
      <b/>
      <sz val="12"/>
      <name val="Arial"/>
      <family val="2"/>
    </font>
    <font>
      <sz val="10"/>
      <color indexed="62"/>
      <name val="Book Antiqua"/>
      <family val="1"/>
    </font>
    <font>
      <b/>
      <u val="single"/>
      <sz val="10"/>
      <name val="MS Sans Serif"/>
      <family val="2"/>
    </font>
    <font>
      <sz val="10"/>
      <name val="Helvetica"/>
      <family val="2"/>
    </font>
    <font>
      <sz val="10"/>
      <color indexed="8"/>
      <name val="Arial"/>
      <family val="2"/>
    </font>
    <font>
      <sz val="9"/>
      <name val="Frutiger 45 Light"/>
      <family val="2"/>
    </font>
    <font>
      <strike/>
      <sz val="10"/>
      <name val="Courier New"/>
      <family val="3"/>
    </font>
    <font>
      <sz val="10"/>
      <name val="MS Sans Serif"/>
      <family val="2"/>
    </font>
    <font>
      <sz val="1"/>
      <color indexed="8"/>
      <name val="Courier"/>
      <family val="3"/>
    </font>
    <font>
      <sz val="12"/>
      <name val="Times New Roman"/>
      <family val="1"/>
    </font>
    <font>
      <b/>
      <sz val="1"/>
      <color indexed="8"/>
      <name val="Courier"/>
      <family val="3"/>
    </font>
    <font>
      <sz val="10"/>
      <color indexed="9"/>
      <name val="Times New Roman"/>
      <family val="1"/>
    </font>
    <font>
      <sz val="10"/>
      <color indexed="12"/>
      <name val="Arial Narrow"/>
      <family val="2"/>
    </font>
    <font>
      <sz val="12"/>
      <name val="Arial"/>
      <family val="2"/>
    </font>
    <font>
      <sz val="8"/>
      <name val="Times New Roman"/>
      <family val="1"/>
    </font>
    <font>
      <b/>
      <sz val="8"/>
      <color indexed="60"/>
      <name val="Arial"/>
      <family val="2"/>
    </font>
    <font>
      <sz val="8"/>
      <color indexed="8"/>
      <name val="Helvetica"/>
      <family val="2"/>
    </font>
    <font>
      <b/>
      <sz val="10"/>
      <name val="Arial Narrow"/>
      <family val="2"/>
    </font>
    <font>
      <b/>
      <sz val="12"/>
      <color indexed="8"/>
      <name val="Arial"/>
      <family val="2"/>
    </font>
    <font>
      <b/>
      <sz val="14"/>
      <name val="Arial"/>
      <family val="2"/>
    </font>
    <font>
      <b/>
      <sz val="10"/>
      <color indexed="56"/>
      <name val="Wingdings"/>
      <family val="0"/>
    </font>
    <font>
      <b/>
      <u val="single"/>
      <sz val="8"/>
      <color indexed="56"/>
      <name val="Arial"/>
      <family val="2"/>
    </font>
    <font>
      <b/>
      <sz val="10"/>
      <color indexed="60"/>
      <name val="Arial"/>
      <family val="2"/>
    </font>
    <font>
      <b/>
      <sz val="9"/>
      <color indexed="60"/>
      <name val="Arial"/>
      <family val="2"/>
    </font>
    <font>
      <b/>
      <sz val="12"/>
      <color indexed="60"/>
      <name val="Arial"/>
      <family val="2"/>
    </font>
    <font>
      <i/>
      <sz val="12"/>
      <name val="Courier New"/>
      <family val="3"/>
    </font>
    <font>
      <sz val="8"/>
      <color indexed="56"/>
      <name val="Arial"/>
      <family val="2"/>
    </font>
    <font>
      <sz val="10"/>
      <name val="Garamond"/>
      <family val="1"/>
    </font>
    <font>
      <sz val="10"/>
      <color indexed="17"/>
      <name val="Arial"/>
      <family val="2"/>
    </font>
    <font>
      <sz val="10"/>
      <color indexed="20"/>
      <name val="Arial"/>
      <family val="2"/>
    </font>
    <font>
      <sz val="10"/>
      <color indexed="14"/>
      <name val="Arial Narrow"/>
      <family val="2"/>
    </font>
    <font>
      <b/>
      <sz val="8"/>
      <name val="Arial"/>
      <family val="2"/>
    </font>
    <font>
      <sz val="8"/>
      <color indexed="8"/>
      <name val="Arial"/>
      <family val="2"/>
    </font>
    <font>
      <b/>
      <sz val="18"/>
      <color indexed="18"/>
      <name val="Arial"/>
      <family val="2"/>
    </font>
    <font>
      <sz val="10"/>
      <color indexed="12"/>
      <name val="Palatino"/>
      <family val="1"/>
    </font>
    <font>
      <b/>
      <sz val="10"/>
      <color indexed="12"/>
      <name val="Arial Narrow"/>
      <family val="2"/>
    </font>
    <font>
      <b/>
      <i/>
      <sz val="16"/>
      <name val="Helv"/>
      <family val="0"/>
    </font>
    <font>
      <b/>
      <sz val="10"/>
      <name val="TarzanaNarrow"/>
      <family val="0"/>
    </font>
    <font>
      <sz val="10"/>
      <name val="Antique Olive"/>
      <family val="2"/>
    </font>
    <font>
      <b/>
      <sz val="14"/>
      <color indexed="8"/>
      <name val="Arial"/>
      <family val="2"/>
    </font>
    <font>
      <b/>
      <sz val="8"/>
      <color indexed="8"/>
      <name val="Arial"/>
      <family val="2"/>
    </font>
    <font>
      <b/>
      <sz val="9"/>
      <color indexed="8"/>
      <name val="Arial"/>
      <family val="2"/>
    </font>
    <font>
      <sz val="12"/>
      <color indexed="9"/>
      <name val="Arial Narrow"/>
      <family val="2"/>
    </font>
    <font>
      <sz val="8"/>
      <name val="Tahoma"/>
      <family val="2"/>
    </font>
    <font>
      <b/>
      <sz val="10"/>
      <name val="Tahoma"/>
      <family val="2"/>
    </font>
    <font>
      <b/>
      <sz val="9"/>
      <name val="Tahoma"/>
      <family val="2"/>
    </font>
    <font>
      <b/>
      <sz val="8"/>
      <name val="Tahoma"/>
      <family val="2"/>
    </font>
    <font>
      <b/>
      <u val="single"/>
      <sz val="8"/>
      <color indexed="56"/>
      <name val="Tahoma"/>
      <family val="2"/>
    </font>
    <font>
      <b/>
      <sz val="12"/>
      <name val="Tahoma"/>
      <family val="2"/>
    </font>
    <font>
      <b/>
      <sz val="13"/>
      <name val="Tahoma"/>
      <family val="2"/>
    </font>
    <font>
      <b/>
      <sz val="14"/>
      <name val="Tahoma"/>
      <family val="2"/>
    </font>
    <font>
      <b/>
      <sz val="11"/>
      <name val="Arial Narrow"/>
      <family val="2"/>
    </font>
    <font>
      <b/>
      <sz val="11"/>
      <color indexed="14"/>
      <name val="Arial Narrow"/>
      <family val="2"/>
    </font>
    <font>
      <b/>
      <sz val="11"/>
      <color indexed="56"/>
      <name val="Arial"/>
      <family val="2"/>
    </font>
    <font>
      <b/>
      <i/>
      <sz val="12"/>
      <color indexed="8"/>
      <name val="Arial"/>
      <family val="2"/>
    </font>
    <font>
      <sz val="12"/>
      <color indexed="18"/>
      <name val="Arial"/>
      <family val="2"/>
    </font>
    <font>
      <sz val="12"/>
      <color indexed="9"/>
      <name val="Arial"/>
      <family val="2"/>
    </font>
    <font>
      <sz val="12"/>
      <color indexed="8"/>
      <name val="Arial"/>
      <family val="2"/>
    </font>
    <font>
      <b/>
      <sz val="12"/>
      <color indexed="18"/>
      <name val="Arial"/>
      <family val="2"/>
    </font>
    <font>
      <b/>
      <sz val="12"/>
      <color indexed="56"/>
      <name val="Arial"/>
      <family val="2"/>
    </font>
    <font>
      <sz val="12"/>
      <color indexed="56"/>
      <name val="Arial"/>
      <family val="2"/>
    </font>
    <font>
      <i/>
      <sz val="12"/>
      <color indexed="8"/>
      <name val="Arial"/>
      <family val="2"/>
    </font>
    <font>
      <sz val="11"/>
      <color indexed="56"/>
      <name val="Arial"/>
      <family val="2"/>
    </font>
    <font>
      <b/>
      <sz val="11"/>
      <color indexed="18"/>
      <name val="Arial Narrow"/>
      <family val="2"/>
    </font>
    <font>
      <sz val="19"/>
      <color indexed="9"/>
      <name val="Arial"/>
      <family val="2"/>
    </font>
    <font>
      <sz val="12"/>
      <color indexed="10"/>
      <name val="Arial"/>
      <family val="2"/>
    </font>
    <font>
      <sz val="9"/>
      <name val="Arial"/>
      <family val="2"/>
    </font>
    <font>
      <b/>
      <sz val="13"/>
      <name val="Arial"/>
      <family val="2"/>
    </font>
    <font>
      <b/>
      <sz val="14"/>
      <color indexed="9"/>
      <name val="Book Antiqua"/>
      <family val="1"/>
    </font>
    <font>
      <sz val="12"/>
      <name val="Arial MT"/>
      <family val="0"/>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sz val="8"/>
      <color indexed="56"/>
      <name val="Book Antiqua"/>
      <family val="1"/>
    </font>
    <font>
      <b/>
      <sz val="9"/>
      <name val="Arial"/>
      <family val="2"/>
    </font>
    <font>
      <sz val="10"/>
      <name val="TarzanaNarrow"/>
      <family val="0"/>
    </font>
    <font>
      <b/>
      <u val="single"/>
      <sz val="9.5"/>
      <color indexed="56"/>
      <name val="Arial"/>
      <family val="2"/>
    </font>
    <font>
      <b/>
      <u val="single"/>
      <sz val="9"/>
      <color indexed="56"/>
      <name val="Arial"/>
      <family val="2"/>
    </font>
    <font>
      <u val="single"/>
      <sz val="8"/>
      <color indexed="56"/>
      <name val="Arial"/>
      <family val="2"/>
    </font>
    <font>
      <u val="single"/>
      <sz val="7.5"/>
      <color indexed="56"/>
      <name val="Arial"/>
      <family val="2"/>
    </font>
    <font>
      <b/>
      <sz val="10"/>
      <name val="Arial"/>
      <family val="2"/>
    </font>
    <font>
      <sz val="10"/>
      <color indexed="10"/>
      <name val="Arial Narrow"/>
      <family val="2"/>
    </font>
    <font>
      <b/>
      <sz val="10"/>
      <color indexed="41"/>
      <name val="Arial"/>
      <family val="2"/>
    </font>
    <font>
      <sz val="12"/>
      <color indexed="12"/>
      <name val="Times New Roman"/>
      <family val="1"/>
    </font>
    <font>
      <sz val="10"/>
      <name val="Arial Greek"/>
      <family val="2"/>
    </font>
    <font>
      <sz val="10"/>
      <color indexed="10"/>
      <name val="Arial"/>
      <family val="2"/>
    </font>
    <font>
      <b/>
      <sz val="10"/>
      <name val="Helvetica"/>
      <family val="2"/>
    </font>
  </fonts>
  <fills count="40">
    <fill>
      <patternFill/>
    </fill>
    <fill>
      <patternFill patternType="gray125"/>
    </fill>
    <fill>
      <patternFill patternType="solid">
        <fgColor indexed="1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12"/>
        <bgColor indexed="64"/>
      </patternFill>
    </fill>
    <fill>
      <patternFill patternType="solid">
        <fgColor indexed="18"/>
        <bgColor indexed="64"/>
      </patternFill>
    </fill>
    <fill>
      <patternFill patternType="solid">
        <fgColor indexed="48"/>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gray0625"/>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39"/>
        <bgColor indexed="64"/>
      </patternFill>
    </fill>
    <fill>
      <patternFill patternType="solid">
        <fgColor indexed="33"/>
        <bgColor indexed="64"/>
      </patternFill>
    </fill>
    <fill>
      <patternFill patternType="solid">
        <fgColor indexed="50"/>
        <bgColor indexed="64"/>
      </patternFill>
    </fill>
    <fill>
      <patternFill patternType="lightUp">
        <fgColor indexed="48"/>
        <bgColor indexed="30"/>
      </patternFill>
    </fill>
    <fill>
      <patternFill patternType="solid">
        <fgColor indexed="23"/>
        <bgColor indexed="64"/>
      </patternFill>
    </fill>
    <fill>
      <patternFill patternType="solid">
        <fgColor indexed="14"/>
        <bgColor indexed="64"/>
      </patternFill>
    </fill>
  </fills>
  <borders count="47">
    <border>
      <left/>
      <right/>
      <top/>
      <bottom/>
      <diagonal/>
    </border>
    <border>
      <left style="medium"/>
      <right/>
      <top/>
      <bottom/>
    </border>
    <border>
      <left/>
      <right style="medium"/>
      <top/>
      <bottom/>
    </border>
    <border>
      <left/>
      <right/>
      <top style="thin"/>
      <bottom style="medium"/>
    </border>
    <border>
      <left style="medium">
        <color indexed="22"/>
      </left>
      <right style="medium">
        <color indexed="22"/>
      </right>
      <top style="medium">
        <color indexed="22"/>
      </top>
      <bottom style="medium">
        <color indexed="22"/>
      </bottom>
    </border>
    <border>
      <left style="medium">
        <color indexed="18"/>
      </left>
      <right style="medium">
        <color indexed="18"/>
      </right>
      <top style="medium">
        <color indexed="18"/>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thin"/>
      <bottom/>
    </border>
    <border>
      <left style="thin"/>
      <right style="thin"/>
      <top/>
      <bottom/>
    </border>
    <border>
      <left/>
      <right/>
      <top style="double"/>
      <bottom style="double"/>
    </border>
    <border>
      <left style="medium">
        <color indexed="10"/>
      </left>
      <right style="medium">
        <color indexed="10"/>
      </right>
      <top style="hair">
        <color indexed="10"/>
      </top>
      <bottom style="hair">
        <color indexed="10"/>
      </bottom>
    </border>
    <border>
      <left/>
      <right/>
      <top style="medium"/>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12"/>
      </left>
      <right style="thin">
        <color indexed="12"/>
      </right>
      <top style="thin">
        <color indexed="12"/>
      </top>
      <bottom style="thin">
        <color indexed="1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style="medium"/>
      <right/>
      <top/>
      <bottom style="medium"/>
    </border>
    <border>
      <left style="thin">
        <color indexed="48"/>
      </left>
      <right style="thin">
        <color indexed="48"/>
      </right>
      <top style="thin">
        <color indexed="48"/>
      </top>
      <bottom style="thin">
        <color indexed="48"/>
      </bottom>
    </border>
    <border>
      <left/>
      <right/>
      <top/>
      <bottom style="medium">
        <color indexed="22"/>
      </bottom>
    </border>
    <border>
      <left/>
      <right/>
      <top style="thin">
        <color indexed="48"/>
      </top>
      <bottom style="thin">
        <color indexed="48"/>
      </bottom>
    </border>
    <border>
      <left style="double"/>
      <right/>
      <top style="double"/>
      <bottom/>
    </border>
    <border>
      <left style="thin"/>
      <right/>
      <top/>
      <bottom/>
    </border>
    <border>
      <left style="thin"/>
      <right/>
      <top style="thin"/>
      <bottom/>
    </border>
    <border>
      <left/>
      <right/>
      <top/>
      <bottom style="hair"/>
    </border>
    <border>
      <left>
        <color indexed="63"/>
      </left>
      <right>
        <color indexed="63"/>
      </right>
      <top style="thin">
        <color indexed="62"/>
      </top>
      <bottom style="double">
        <color indexed="62"/>
      </bottom>
    </border>
    <border>
      <left/>
      <right/>
      <top style="thin"/>
      <bottom style="double"/>
    </border>
    <border>
      <left style="medium"/>
      <right style="thin"/>
      <top/>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thin"/>
    </border>
  </borders>
  <cellStyleXfs count="5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lignment/>
      <protection/>
    </xf>
    <xf numFmtId="176" fontId="0" fillId="0" borderId="0" applyFont="0" applyFill="0" applyBorder="0" applyAlignment="0" applyProtection="0"/>
    <xf numFmtId="177" fontId="0" fillId="0" borderId="1" applyFont="0" applyFill="0" applyBorder="0" applyAlignment="0" applyProtection="0"/>
    <xf numFmtId="178" fontId="0" fillId="0" borderId="1" applyFont="0" applyFill="0" applyBorder="0" applyAlignment="0" applyProtection="0"/>
    <xf numFmtId="179" fontId="42" fillId="0" borderId="0" applyFont="0" applyFill="0" applyBorder="0" applyAlignment="0" applyProtection="0"/>
    <xf numFmtId="180" fontId="42" fillId="0" borderId="0" applyFont="0" applyFill="0" applyBorder="0" applyAlignment="0" applyProtection="0"/>
    <xf numFmtId="181" fontId="42" fillId="2" borderId="0" applyFont="0" applyFill="0" applyBorder="0" applyAlignment="0" applyProtection="0"/>
    <xf numFmtId="182" fontId="43" fillId="2"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4" fillId="0" borderId="0">
      <alignment/>
      <protection/>
    </xf>
    <xf numFmtId="0" fontId="45" fillId="0" borderId="0">
      <alignment/>
      <protection/>
    </xf>
    <xf numFmtId="9" fontId="0" fillId="0" borderId="0" applyFont="0" applyFill="0" applyBorder="0" applyAlignment="0" applyProtection="0"/>
    <xf numFmtId="183" fontId="46" fillId="0" borderId="0" applyFont="0" applyFill="0" applyBorder="0" applyAlignment="0" applyProtection="0"/>
    <xf numFmtId="10" fontId="0" fillId="0" borderId="0" applyFont="0" applyFill="0" applyBorder="0" applyAlignment="0" applyProtection="0"/>
    <xf numFmtId="9" fontId="44" fillId="0" borderId="0">
      <alignment/>
      <protection/>
    </xf>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47" fillId="0" borderId="1" applyNumberFormat="0" applyFill="0" applyBorder="0" applyAlignment="0" applyProtection="0"/>
    <xf numFmtId="0" fontId="48" fillId="17" borderId="2" applyNumberFormat="0" applyBorder="0" applyProtection="0">
      <alignment horizontal="left" vertical="center"/>
    </xf>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48" fillId="21" borderId="0" applyNumberFormat="0" applyBorder="0" applyProtection="0">
      <alignment horizontal="center" wrapText="1"/>
    </xf>
    <xf numFmtId="0" fontId="50" fillId="19" borderId="0" applyNumberFormat="0" applyBorder="0" applyAlignment="0" applyProtection="0"/>
    <xf numFmtId="168" fontId="48" fillId="22" borderId="3"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49" fontId="51" fillId="25" borderId="0">
      <alignment/>
      <protection/>
    </xf>
    <xf numFmtId="0" fontId="52" fillId="0" borderId="0" applyNumberFormat="0" applyFill="0" applyBorder="0" applyAlignment="0">
      <protection locked="0"/>
    </xf>
    <xf numFmtId="0" fontId="0" fillId="0" borderId="0">
      <alignment/>
      <protection/>
    </xf>
    <xf numFmtId="164" fontId="53" fillId="0" borderId="4">
      <alignment horizontal="center" vertical="center"/>
      <protection locked="0"/>
    </xf>
    <xf numFmtId="184" fontId="53" fillId="0" borderId="4">
      <alignment horizontal="center" vertical="center"/>
      <protection locked="0"/>
    </xf>
    <xf numFmtId="185" fontId="53" fillId="0" borderId="4">
      <alignment horizontal="center" vertical="center"/>
      <protection locked="0"/>
    </xf>
    <xf numFmtId="37" fontId="53" fillId="0" borderId="4">
      <alignment horizontal="center" vertical="center"/>
      <protection locked="0"/>
    </xf>
    <xf numFmtId="186" fontId="53" fillId="0" borderId="4">
      <alignment horizontal="center" vertical="center"/>
      <protection locked="0"/>
    </xf>
    <xf numFmtId="0" fontId="53" fillId="0" borderId="4">
      <alignment horizontal="center" vertical="center"/>
      <protection locked="0"/>
    </xf>
    <xf numFmtId="187" fontId="53" fillId="0" borderId="4">
      <alignment horizontal="center" vertical="center"/>
      <protection locked="0"/>
    </xf>
    <xf numFmtId="188" fontId="25" fillId="0" borderId="5">
      <alignment horizontal="center" vertical="center"/>
      <protection locked="0"/>
    </xf>
    <xf numFmtId="15" fontId="25" fillId="0" borderId="5">
      <alignment horizontal="center" vertical="center"/>
      <protection locked="0"/>
    </xf>
    <xf numFmtId="189" fontId="25" fillId="0" borderId="5">
      <alignment horizontal="center" vertical="center"/>
      <protection locked="0"/>
    </xf>
    <xf numFmtId="190" fontId="25" fillId="0" borderId="5">
      <alignment horizontal="center" vertical="center"/>
      <protection locked="0"/>
    </xf>
    <xf numFmtId="191" fontId="25" fillId="0" borderId="5">
      <alignment horizontal="center" vertical="center"/>
      <protection locked="0"/>
    </xf>
    <xf numFmtId="192" fontId="25" fillId="0" borderId="5">
      <alignment horizontal="center" vertical="center"/>
      <protection locked="0"/>
    </xf>
    <xf numFmtId="193" fontId="53" fillId="0" borderId="4">
      <alignment vertical="center"/>
      <protection locked="0"/>
    </xf>
    <xf numFmtId="194" fontId="53" fillId="0" borderId="4">
      <alignment horizontal="right" vertical="center"/>
      <protection locked="0"/>
    </xf>
    <xf numFmtId="195" fontId="53" fillId="0" borderId="4">
      <alignment vertical="center"/>
      <protection locked="0"/>
    </xf>
    <xf numFmtId="196" fontId="53" fillId="0" borderId="4">
      <alignment vertical="center"/>
      <protection locked="0"/>
    </xf>
    <xf numFmtId="197" fontId="53" fillId="0" borderId="4">
      <alignment vertical="center"/>
      <protection locked="0"/>
    </xf>
    <xf numFmtId="0" fontId="53" fillId="0" borderId="4">
      <alignment vertical="center"/>
      <protection locked="0"/>
    </xf>
    <xf numFmtId="198" fontId="53" fillId="0" borderId="4">
      <alignment horizontal="right" vertical="center"/>
      <protection locked="0"/>
    </xf>
    <xf numFmtId="0" fontId="25" fillId="0" borderId="5">
      <alignment vertical="center"/>
      <protection locked="0"/>
    </xf>
    <xf numFmtId="199" fontId="53" fillId="0" borderId="4">
      <alignment horizontal="center" vertical="center"/>
      <protection locked="0"/>
    </xf>
    <xf numFmtId="200" fontId="53" fillId="0" borderId="4">
      <alignment horizontal="center" vertical="center"/>
      <protection locked="0"/>
    </xf>
    <xf numFmtId="201" fontId="53" fillId="0" borderId="4">
      <alignment horizontal="center" vertical="center"/>
      <protection locked="0"/>
    </xf>
    <xf numFmtId="202" fontId="53" fillId="0" borderId="4">
      <alignment horizontal="center" vertical="center"/>
      <protection locked="0"/>
    </xf>
    <xf numFmtId="203" fontId="53" fillId="0" borderId="4">
      <alignment horizontal="center" vertical="center"/>
      <protection locked="0"/>
    </xf>
    <xf numFmtId="0" fontId="53" fillId="0" borderId="4">
      <alignment horizontal="center" vertical="center"/>
      <protection locked="0"/>
    </xf>
    <xf numFmtId="204" fontId="53" fillId="0" borderId="4">
      <alignment horizontal="center" vertical="center"/>
      <protection locked="0"/>
    </xf>
    <xf numFmtId="188" fontId="25" fillId="0" borderId="5">
      <alignment horizontal="right" vertical="center"/>
      <protection locked="0"/>
    </xf>
    <xf numFmtId="205" fontId="25" fillId="0" borderId="5">
      <alignment horizontal="right" vertical="center"/>
      <protection locked="0"/>
    </xf>
    <xf numFmtId="189" fontId="25" fillId="0" borderId="5">
      <alignment horizontal="right" vertical="center"/>
      <protection locked="0"/>
    </xf>
    <xf numFmtId="190" fontId="25" fillId="0" borderId="5">
      <alignment horizontal="right" vertical="center"/>
      <protection locked="0"/>
    </xf>
    <xf numFmtId="191" fontId="25" fillId="0" borderId="5">
      <alignment horizontal="right" vertical="center"/>
      <protection locked="0"/>
    </xf>
    <xf numFmtId="192" fontId="25" fillId="0" borderId="5">
      <alignment horizontal="right" vertical="center"/>
      <protection locked="0"/>
    </xf>
    <xf numFmtId="206" fontId="0" fillId="0" borderId="0" applyFont="0" applyFill="0" applyBorder="0" applyAlignment="0" applyProtection="0"/>
    <xf numFmtId="207" fontId="42" fillId="0" borderId="0" applyFont="0" applyFill="0" applyBorder="0" applyAlignment="0" applyProtection="0"/>
    <xf numFmtId="208" fontId="54" fillId="0" borderId="0" applyFont="0" applyFill="0" applyBorder="0" applyAlignment="0" applyProtection="0"/>
    <xf numFmtId="209" fontId="54" fillId="0" borderId="0" applyFont="0" applyFill="0" applyBorder="0" applyAlignment="0" applyProtection="0"/>
    <xf numFmtId="210" fontId="55" fillId="0" borderId="0" applyFont="0" applyFill="0" applyBorder="0" applyAlignment="0" applyProtection="0"/>
    <xf numFmtId="211" fontId="42" fillId="0" borderId="0" applyFont="0" applyFill="0" applyBorder="0" applyAlignment="0" applyProtection="0"/>
    <xf numFmtId="212" fontId="42" fillId="0" borderId="0" applyFont="0" applyFill="0" applyBorder="0" applyAlignment="0" applyProtection="0"/>
    <xf numFmtId="208" fontId="54" fillId="0" borderId="0" applyFont="0" applyFill="0" applyBorder="0" applyAlignment="0" applyProtection="0"/>
    <xf numFmtId="0" fontId="9" fillId="9" borderId="0">
      <alignment/>
      <protection/>
    </xf>
    <xf numFmtId="0" fontId="10" fillId="4" borderId="0" applyNumberFormat="0" applyBorder="0" applyAlignment="0" applyProtection="0"/>
    <xf numFmtId="213" fontId="0" fillId="0" borderId="0" applyFont="0" applyFill="0" applyBorder="0" applyAlignment="0" applyProtection="0"/>
    <xf numFmtId="0" fontId="56" fillId="0" borderId="0" applyFill="0" applyBorder="0" applyAlignment="0">
      <protection/>
    </xf>
    <xf numFmtId="0" fontId="57" fillId="0" borderId="0" applyFill="0" applyBorder="0" applyAlignment="0">
      <protection/>
    </xf>
    <xf numFmtId="0" fontId="57" fillId="0" borderId="0" applyFill="0" applyBorder="0" applyAlignment="0">
      <protection/>
    </xf>
    <xf numFmtId="0" fontId="56" fillId="0" borderId="0" applyFill="0" applyBorder="0" applyAlignment="0">
      <protection/>
    </xf>
    <xf numFmtId="0" fontId="56" fillId="0" borderId="0" applyFill="0" applyBorder="0" applyAlignment="0">
      <protection/>
    </xf>
    <xf numFmtId="0" fontId="56" fillId="0" borderId="0" applyFill="0" applyBorder="0" applyAlignment="0">
      <protection/>
    </xf>
    <xf numFmtId="0" fontId="56" fillId="0" borderId="0" applyFill="0" applyBorder="0" applyAlignment="0">
      <protection/>
    </xf>
    <xf numFmtId="0" fontId="57" fillId="0" borderId="0" applyFill="0" applyBorder="0" applyAlignment="0">
      <protection/>
    </xf>
    <xf numFmtId="0" fontId="11" fillId="25" borderId="6" applyNumberFormat="0" applyAlignment="0" applyProtection="0"/>
    <xf numFmtId="0" fontId="25" fillId="0" borderId="0" applyNumberFormat="0" applyFont="0" applyFill="0" applyBorder="0">
      <alignment horizontal="center" vertical="center"/>
      <protection locked="0"/>
    </xf>
    <xf numFmtId="188" fontId="25" fillId="0" borderId="0" applyFill="0" applyBorder="0">
      <alignment horizontal="center" vertical="center"/>
      <protection/>
    </xf>
    <xf numFmtId="15" fontId="25" fillId="0" borderId="0" applyFill="0" applyBorder="0">
      <alignment horizontal="center" vertical="center"/>
      <protection/>
    </xf>
    <xf numFmtId="189" fontId="25" fillId="0" borderId="0" applyFill="0" applyBorder="0">
      <alignment horizontal="center" vertical="center"/>
      <protection/>
    </xf>
    <xf numFmtId="190" fontId="25" fillId="0" borderId="0" applyFill="0" applyBorder="0">
      <alignment horizontal="center" vertical="center"/>
      <protection/>
    </xf>
    <xf numFmtId="191" fontId="25" fillId="0" borderId="0" applyFill="0" applyBorder="0">
      <alignment horizontal="center" vertical="center"/>
      <protection/>
    </xf>
    <xf numFmtId="192" fontId="25" fillId="0" borderId="0" applyFill="0" applyBorder="0">
      <alignment horizontal="center" vertical="center"/>
      <protection/>
    </xf>
    <xf numFmtId="0" fontId="12" fillId="26" borderId="7" applyNumberFormat="0" applyAlignment="0" applyProtection="0"/>
    <xf numFmtId="49" fontId="58" fillId="0" borderId="0">
      <alignment horizontal="right" vertical="center"/>
      <protection/>
    </xf>
    <xf numFmtId="21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0" applyFont="0" applyFill="0" applyBorder="0" applyAlignment="0" applyProtection="0"/>
    <xf numFmtId="215" fontId="0" fillId="0" borderId="0" applyFill="0" applyBorder="0" applyAlignment="0" applyProtection="0"/>
    <xf numFmtId="216" fontId="0" fillId="0" borderId="0" applyFont="0" applyFill="0" applyBorder="0" applyAlignment="0" applyProtection="0"/>
    <xf numFmtId="217" fontId="7"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0" fontId="59" fillId="0" borderId="0">
      <alignment/>
      <protection/>
    </xf>
    <xf numFmtId="0" fontId="44" fillId="0" borderId="0">
      <alignment/>
      <protection/>
    </xf>
    <xf numFmtId="0" fontId="59" fillId="0" borderId="0">
      <alignment/>
      <protection/>
    </xf>
    <xf numFmtId="0" fontId="44" fillId="0" borderId="0">
      <alignment/>
      <protection/>
    </xf>
    <xf numFmtId="0" fontId="60" fillId="0" borderId="0" applyNumberFormat="0" applyFill="0" applyBorder="0" applyAlignment="0" applyProtection="0"/>
    <xf numFmtId="0" fontId="61" fillId="0" borderId="0" applyFill="0" applyBorder="0">
      <alignment vertical="center"/>
      <protection/>
    </xf>
    <xf numFmtId="0" fontId="62" fillId="0" borderId="0">
      <alignment horizontal="left" vertical="center" indent="1"/>
      <protection/>
    </xf>
    <xf numFmtId="0" fontId="63" fillId="0" borderId="0" applyFill="0" applyBorder="0">
      <alignment vertical="center"/>
      <protection/>
    </xf>
    <xf numFmtId="218" fontId="42" fillId="0" borderId="0" applyFont="0" applyFill="0" applyBorder="0" applyAlignment="0" applyProtection="0"/>
    <xf numFmtId="219" fontId="4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Font="0" applyFill="0" applyBorder="0" applyAlignment="0" applyProtection="0"/>
    <xf numFmtId="220"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4" fontId="7" fillId="0" borderId="0" applyFont="0" applyFill="0" applyBorder="0" applyAlignment="0" applyProtection="0"/>
    <xf numFmtId="0" fontId="0" fillId="0" borderId="0" applyFont="0" applyFill="0" applyBorder="0" applyAlignment="0" applyProtection="0"/>
    <xf numFmtId="221" fontId="42" fillId="0" borderId="0" applyFont="0" applyFill="0" applyBorder="0" applyAlignment="0" applyProtection="0"/>
    <xf numFmtId="222" fontId="64" fillId="0" borderId="0" applyNumberFormat="0" applyFill="0" applyBorder="0" applyAlignment="0">
      <protection locked="0"/>
    </xf>
    <xf numFmtId="0" fontId="65" fillId="27" borderId="8">
      <alignment horizontal="right"/>
      <protection/>
    </xf>
    <xf numFmtId="0" fontId="66" fillId="0" borderId="0">
      <alignment/>
      <protection/>
    </xf>
    <xf numFmtId="223" fontId="67" fillId="27" borderId="8">
      <alignment/>
      <protection locked="0"/>
    </xf>
    <xf numFmtId="17" fontId="68" fillId="28" borderId="0">
      <alignment/>
      <protection/>
    </xf>
    <xf numFmtId="224" fontId="69" fillId="0" borderId="0" applyFont="0" applyFill="0" applyBorder="0" applyAlignment="0" applyProtection="0"/>
    <xf numFmtId="14" fontId="0" fillId="0" borderId="0" applyFont="0" applyFill="0" applyBorder="0" applyAlignment="0" applyProtection="0"/>
    <xf numFmtId="225" fontId="41" fillId="0" borderId="0" applyFont="0" applyFill="0" applyBorder="0" applyAlignment="0" applyProtection="0"/>
    <xf numFmtId="14" fontId="70" fillId="0" borderId="0" applyFill="0" applyBorder="0" applyAlignment="0">
      <protection/>
    </xf>
    <xf numFmtId="226" fontId="0" fillId="0" borderId="0" applyFont="0" applyFill="0" applyBorder="0" applyAlignment="0" applyProtection="0"/>
    <xf numFmtId="227" fontId="71" fillId="0" borderId="0" applyFont="0" applyFill="0" applyBorder="0" applyAlignment="0" applyProtection="0"/>
    <xf numFmtId="228" fontId="64" fillId="0" borderId="0" applyFont="0" applyFill="0" applyBorder="0" applyAlignment="0" applyProtection="0"/>
    <xf numFmtId="229" fontId="0" fillId="0" borderId="0" applyFont="0" applyFill="0" applyBorder="0" applyAlignment="0" applyProtection="0"/>
    <xf numFmtId="222" fontId="42" fillId="0" borderId="0" applyFont="0" applyFill="0" applyBorder="0" applyAlignment="0" applyProtection="0"/>
    <xf numFmtId="15" fontId="64" fillId="0" borderId="9" applyFont="0" applyFill="0" applyBorder="0" applyAlignment="0" applyProtection="0"/>
    <xf numFmtId="230" fontId="42" fillId="0" borderId="0" applyFont="0" applyFill="0" applyBorder="0" applyAlignment="0" applyProtection="0"/>
    <xf numFmtId="15" fontId="0" fillId="0" borderId="0" applyFont="0" applyFill="0" applyBorder="0" applyAlignment="0" applyProtection="0"/>
    <xf numFmtId="202" fontId="0" fillId="0" borderId="0" applyFont="0" applyFill="0" applyBorder="0" applyAlignment="0">
      <protection/>
    </xf>
    <xf numFmtId="231" fontId="0" fillId="0" borderId="0" applyFont="0" applyFill="0" applyBorder="0" applyAlignment="0">
      <protection/>
    </xf>
    <xf numFmtId="232" fontId="0" fillId="0" borderId="0" applyFont="0" applyFill="0" applyBorder="0" applyAlignment="0">
      <protection/>
    </xf>
    <xf numFmtId="233" fontId="0" fillId="0" borderId="0" applyFont="0" applyFill="0" applyBorder="0" applyAlignment="0">
      <protection/>
    </xf>
    <xf numFmtId="234" fontId="0" fillId="0" borderId="0" applyFont="0" applyFill="0" applyBorder="0" applyAlignment="0" applyProtection="0"/>
    <xf numFmtId="0" fontId="72" fillId="0" borderId="10">
      <alignment horizontal="left"/>
      <protection/>
    </xf>
    <xf numFmtId="38" fontId="73" fillId="0" borderId="11">
      <alignment vertical="center"/>
      <protection/>
    </xf>
    <xf numFmtId="0" fontId="74" fillId="0" borderId="0">
      <alignment/>
      <protection locked="0"/>
    </xf>
    <xf numFmtId="235" fontId="69" fillId="0" borderId="0" applyFont="0" applyFill="0" applyBorder="0" applyAlignment="0" applyProtection="0"/>
    <xf numFmtId="236" fontId="0" fillId="0" borderId="0" applyFont="0" applyFill="0" applyBorder="0" applyAlignment="0" applyProtection="0"/>
    <xf numFmtId="237" fontId="75" fillId="0" borderId="0" applyFont="0" applyFill="0" applyBorder="0" applyAlignment="0" applyProtection="0"/>
    <xf numFmtId="174" fontId="0" fillId="0" borderId="0" applyFont="0" applyFill="0" applyBorder="0" applyAlignment="0" applyProtection="0"/>
    <xf numFmtId="0" fontId="76" fillId="0" borderId="0">
      <alignment/>
      <protection locked="0"/>
    </xf>
    <xf numFmtId="0" fontId="76" fillId="0" borderId="0">
      <alignment/>
      <protection locked="0"/>
    </xf>
    <xf numFmtId="0" fontId="56" fillId="0" borderId="0" applyFill="0" applyBorder="0" applyAlignment="0">
      <protection/>
    </xf>
    <xf numFmtId="0" fontId="57" fillId="0" borderId="0" applyFill="0" applyBorder="0" applyAlignment="0">
      <protection/>
    </xf>
    <xf numFmtId="0" fontId="56" fillId="0" borderId="0" applyFill="0" applyBorder="0" applyAlignment="0">
      <protection/>
    </xf>
    <xf numFmtId="0" fontId="56" fillId="0" borderId="0" applyFill="0" applyBorder="0" applyAlignment="0">
      <protection/>
    </xf>
    <xf numFmtId="0" fontId="57" fillId="0" borderId="0" applyFill="0" applyBorder="0" applyAlignment="0">
      <protection/>
    </xf>
    <xf numFmtId="238" fontId="77" fillId="10" borderId="0" applyBorder="0" applyAlignment="0">
      <protection/>
    </xf>
    <xf numFmtId="239" fontId="0" fillId="0" borderId="0" applyFont="0" applyFill="0" applyBorder="0" applyAlignment="0" applyProtection="0"/>
    <xf numFmtId="0" fontId="13" fillId="0" borderId="0" applyNumberFormat="0" applyFill="0" applyBorder="0" applyAlignment="0" applyProtection="0"/>
    <xf numFmtId="0" fontId="75" fillId="0" borderId="0" applyNumberFormat="0" applyFill="0" applyBorder="0" applyAlignment="0" applyProtection="0"/>
    <xf numFmtId="0" fontId="74" fillId="0" borderId="0">
      <alignment/>
      <protection locked="0"/>
    </xf>
    <xf numFmtId="0" fontId="74" fillId="0" borderId="0">
      <alignment/>
      <protection locked="0"/>
    </xf>
    <xf numFmtId="0" fontId="74" fillId="0" borderId="0">
      <alignment/>
      <protection locked="0"/>
    </xf>
    <xf numFmtId="0" fontId="74" fillId="0" borderId="0">
      <alignment/>
      <protection locked="0"/>
    </xf>
    <xf numFmtId="0" fontId="74" fillId="0" borderId="0">
      <alignment/>
      <protection locked="0"/>
    </xf>
    <xf numFmtId="0" fontId="74" fillId="0" borderId="0">
      <alignment/>
      <protection locked="0"/>
    </xf>
    <xf numFmtId="0" fontId="74" fillId="0" borderId="0">
      <alignment/>
      <protection locked="0"/>
    </xf>
    <xf numFmtId="193" fontId="53" fillId="0" borderId="4">
      <alignment horizontal="center" vertical="center"/>
      <protection locked="0"/>
    </xf>
    <xf numFmtId="240" fontId="53" fillId="0" borderId="4">
      <alignment horizontal="right" vertical="center"/>
      <protection locked="0"/>
    </xf>
    <xf numFmtId="195" fontId="53" fillId="0" borderId="4">
      <alignment horizontal="center" vertical="center"/>
      <protection locked="0"/>
    </xf>
    <xf numFmtId="196" fontId="53" fillId="0" borderId="4">
      <alignment horizontal="center" vertical="center"/>
      <protection locked="0"/>
    </xf>
    <xf numFmtId="197" fontId="53" fillId="0" borderId="4">
      <alignment horizontal="center" vertical="center"/>
      <protection locked="0"/>
    </xf>
    <xf numFmtId="0" fontId="53" fillId="0" borderId="4">
      <alignment vertical="center"/>
      <protection locked="0"/>
    </xf>
    <xf numFmtId="198" fontId="53" fillId="0" borderId="4">
      <alignment horizontal="right" vertical="center"/>
      <protection locked="0"/>
    </xf>
    <xf numFmtId="241" fontId="78" fillId="0" borderId="0" applyFont="0" applyFill="0" applyBorder="0" applyAlignment="0" applyProtection="0"/>
    <xf numFmtId="0" fontId="74" fillId="0" borderId="0">
      <alignment/>
      <protection locked="0"/>
    </xf>
    <xf numFmtId="0" fontId="74" fillId="0" borderId="0">
      <alignment/>
      <protection locked="0"/>
    </xf>
    <xf numFmtId="2" fontId="79" fillId="0" borderId="0" applyFont="0" applyFill="0" applyBorder="0" applyAlignment="0" applyProtection="0"/>
    <xf numFmtId="0" fontId="32" fillId="0" borderId="0" applyNumberFormat="0" applyFill="0" applyBorder="0" applyAlignment="0" applyProtection="0"/>
    <xf numFmtId="0" fontId="80" fillId="0" borderId="0" applyFill="0" applyBorder="0" applyProtection="0">
      <alignment horizontal="left"/>
    </xf>
    <xf numFmtId="193" fontId="53" fillId="0" borderId="0" applyFill="0" applyBorder="0">
      <alignment horizontal="right" vertical="center"/>
      <protection/>
    </xf>
    <xf numFmtId="194" fontId="53" fillId="0" borderId="0" applyFill="0" applyBorder="0">
      <alignment horizontal="right" vertical="center"/>
      <protection/>
    </xf>
    <xf numFmtId="195" fontId="53" fillId="0" borderId="0" applyFill="0" applyBorder="0">
      <alignment horizontal="right" vertical="center"/>
      <protection/>
    </xf>
    <xf numFmtId="196" fontId="53" fillId="0" borderId="0" applyFill="0" applyBorder="0">
      <alignment horizontal="right" vertical="center"/>
      <protection/>
    </xf>
    <xf numFmtId="197" fontId="53" fillId="0" borderId="0" applyFill="0" applyBorder="0">
      <alignment horizontal="right" vertical="center"/>
      <protection/>
    </xf>
    <xf numFmtId="0" fontId="81" fillId="0" borderId="0" applyFill="0" applyBorder="0">
      <alignment horizontal="right" vertical="center"/>
      <protection/>
    </xf>
    <xf numFmtId="198" fontId="53" fillId="0" borderId="0" applyFill="0" applyBorder="0">
      <alignment horizontal="right" vertical="center"/>
      <protection/>
    </xf>
    <xf numFmtId="0" fontId="70" fillId="0" borderId="0" applyNumberFormat="0" applyBorder="0" applyAlignment="0">
      <protection/>
    </xf>
    <xf numFmtId="0" fontId="82" fillId="29" borderId="12" applyNumberFormat="0" applyAlignment="0">
      <protection locked="0"/>
    </xf>
    <xf numFmtId="38" fontId="0" fillId="30" borderId="0" applyFill="0">
      <alignment horizontal="right"/>
      <protection locked="0"/>
    </xf>
    <xf numFmtId="242" fontId="64" fillId="2" borderId="13" applyFill="0" applyBorder="0" applyAlignment="0" applyProtection="0"/>
    <xf numFmtId="243" fontId="83" fillId="0" borderId="0" applyFont="0" applyFill="0" applyBorder="0" applyAlignment="0" applyProtection="0"/>
    <xf numFmtId="0" fontId="14" fillId="5" borderId="0" applyNumberFormat="0" applyBorder="0" applyAlignment="0" applyProtection="0"/>
    <xf numFmtId="0" fontId="66" fillId="0" borderId="14" applyNumberFormat="0" applyAlignment="0" applyProtection="0"/>
    <xf numFmtId="0" fontId="66" fillId="0" borderId="15">
      <alignment horizontal="left" vertical="center"/>
      <protection/>
    </xf>
    <xf numFmtId="0" fontId="51" fillId="9" borderId="15">
      <alignment horizontal="center" wrapText="1"/>
      <protection/>
    </xf>
    <xf numFmtId="0" fontId="15" fillId="0" borderId="16"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0" applyNumberFormat="0" applyFill="0" applyBorder="0" applyAlignment="0" applyProtection="0"/>
    <xf numFmtId="244" fontId="70" fillId="0" borderId="0">
      <alignment horizontal="left"/>
      <protection/>
    </xf>
    <xf numFmtId="0" fontId="9" fillId="0" borderId="0">
      <alignment/>
      <protection/>
    </xf>
    <xf numFmtId="0" fontId="84" fillId="0" borderId="0">
      <alignment/>
      <protection/>
    </xf>
    <xf numFmtId="0" fontId="85" fillId="0" borderId="0">
      <alignment horizontal="left"/>
      <protection/>
    </xf>
    <xf numFmtId="245" fontId="50" fillId="0" borderId="0" applyAlignment="0">
      <protection hidden="1"/>
    </xf>
    <xf numFmtId="246" fontId="25" fillId="0" borderId="0" applyFill="0" applyBorder="0">
      <alignment/>
      <protection/>
    </xf>
    <xf numFmtId="0" fontId="31" fillId="0" borderId="0" applyNumberFormat="0" applyFill="0" applyBorder="0" applyAlignment="0" applyProtection="0"/>
    <xf numFmtId="0" fontId="86" fillId="0" borderId="0" applyFill="0" applyBorder="0">
      <alignment horizontal="center" vertical="center"/>
      <protection locked="0"/>
    </xf>
    <xf numFmtId="0" fontId="86" fillId="0" borderId="0" applyFill="0" applyBorder="0">
      <alignment horizontal="center" vertical="center"/>
      <protection locked="0"/>
    </xf>
    <xf numFmtId="0" fontId="87" fillId="0" borderId="0" applyFill="0" applyBorder="0">
      <alignment horizontal="left" vertical="center"/>
      <protection locked="0"/>
    </xf>
    <xf numFmtId="0" fontId="0" fillId="0" borderId="0" applyFill="0">
      <alignment/>
      <protection/>
    </xf>
    <xf numFmtId="0" fontId="18" fillId="8" borderId="6" applyNumberFormat="0" applyAlignment="0" applyProtection="0"/>
    <xf numFmtId="0" fontId="61" fillId="0" borderId="0" applyFill="0" applyBorder="0">
      <alignment vertical="center"/>
      <protection/>
    </xf>
    <xf numFmtId="247" fontId="53" fillId="0" borderId="0" applyFill="0" applyBorder="0">
      <alignment horizontal="center" vertical="center"/>
      <protection/>
    </xf>
    <xf numFmtId="240" fontId="53" fillId="0" borderId="0" applyFill="0" applyBorder="0">
      <alignment horizontal="right" vertical="center"/>
      <protection/>
    </xf>
    <xf numFmtId="248" fontId="53" fillId="0" borderId="0" applyFill="0" applyBorder="0">
      <alignment horizontal="center" vertical="center"/>
      <protection/>
    </xf>
    <xf numFmtId="249" fontId="53" fillId="0" borderId="0" applyFill="0" applyBorder="0">
      <alignment horizontal="center" vertical="center"/>
      <protection/>
    </xf>
    <xf numFmtId="250" fontId="53" fillId="0" borderId="0" applyFill="0" applyBorder="0">
      <alignment horizontal="center" vertical="center"/>
      <protection/>
    </xf>
    <xf numFmtId="198" fontId="53" fillId="0" borderId="0" applyFill="0" applyBorder="0">
      <alignment horizontal="right" vertical="center"/>
      <protection/>
    </xf>
    <xf numFmtId="0" fontId="88" fillId="0" borderId="0" applyFill="0" applyBorder="0">
      <alignment vertical="center"/>
      <protection/>
    </xf>
    <xf numFmtId="0" fontId="89" fillId="0" borderId="0" applyFill="0" applyBorder="0">
      <alignment vertical="center"/>
      <protection/>
    </xf>
    <xf numFmtId="0" fontId="81" fillId="0" borderId="0" applyFill="0" applyBorder="0">
      <alignment vertical="center"/>
      <protection/>
    </xf>
    <xf numFmtId="0" fontId="53" fillId="0" borderId="0" applyFill="0" applyBorder="0">
      <alignment vertical="center"/>
      <protection/>
    </xf>
    <xf numFmtId="164" fontId="53" fillId="0" borderId="0" applyFill="0" applyBorder="0">
      <alignment horizontal="center" vertical="center"/>
      <protection/>
    </xf>
    <xf numFmtId="184" fontId="53" fillId="0" borderId="0" applyFill="0" applyBorder="0">
      <alignment horizontal="center" vertical="center"/>
      <protection/>
    </xf>
    <xf numFmtId="185" fontId="53" fillId="0" borderId="0" applyFill="0" applyBorder="0">
      <alignment horizontal="center" vertical="center"/>
      <protection/>
    </xf>
    <xf numFmtId="37" fontId="53" fillId="0" borderId="0" applyFill="0" applyBorder="0">
      <alignment horizontal="center" vertical="center"/>
      <protection/>
    </xf>
    <xf numFmtId="186" fontId="53" fillId="0" borderId="0" applyFill="0" applyBorder="0">
      <alignment horizontal="center" vertical="center"/>
      <protection/>
    </xf>
    <xf numFmtId="0" fontId="53" fillId="0" borderId="0" applyFill="0" applyBorder="0">
      <alignment horizontal="center" vertical="center"/>
      <protection/>
    </xf>
    <xf numFmtId="187" fontId="53" fillId="0" borderId="0" applyFill="0" applyBorder="0">
      <alignment horizontal="center" vertical="center"/>
      <protection/>
    </xf>
    <xf numFmtId="0" fontId="90" fillId="0" borderId="0" applyFill="0" applyBorder="0">
      <alignment vertical="center"/>
      <protection/>
    </xf>
    <xf numFmtId="251" fontId="91" fillId="0" borderId="0" applyNumberFormat="0" applyFill="0" applyBorder="0" applyAlignment="0" applyProtection="0"/>
    <xf numFmtId="252" fontId="42" fillId="0" borderId="8" applyFont="0" applyFill="0" applyBorder="0" applyAlignment="0" applyProtection="0"/>
    <xf numFmtId="38" fontId="34" fillId="0" borderId="0">
      <alignment/>
      <protection/>
    </xf>
    <xf numFmtId="38" fontId="35" fillId="0" borderId="0">
      <alignment/>
      <protection/>
    </xf>
    <xf numFmtId="38" fontId="36" fillId="0" borderId="0">
      <alignment/>
      <protection/>
    </xf>
    <xf numFmtId="38" fontId="37" fillId="0" borderId="0">
      <alignment/>
      <protection/>
    </xf>
    <xf numFmtId="0" fontId="38" fillId="0" borderId="0">
      <alignment/>
      <protection/>
    </xf>
    <xf numFmtId="0" fontId="38" fillId="0" borderId="0">
      <alignment/>
      <protection/>
    </xf>
    <xf numFmtId="0" fontId="92" fillId="0" borderId="0">
      <alignment/>
      <protection/>
    </xf>
    <xf numFmtId="253" fontId="93" fillId="0" borderId="0" applyFont="0" applyFill="0" applyBorder="0" applyAlignment="0" applyProtection="0"/>
    <xf numFmtId="254" fontId="42" fillId="0" borderId="0" applyFont="0" applyFill="0" applyBorder="0" applyAlignment="0" applyProtection="0"/>
    <xf numFmtId="0" fontId="56" fillId="0" borderId="0" applyFill="0" applyBorder="0" applyAlignment="0">
      <protection/>
    </xf>
    <xf numFmtId="0" fontId="57" fillId="0" borderId="0" applyFill="0" applyBorder="0" applyAlignment="0">
      <protection/>
    </xf>
    <xf numFmtId="255" fontId="94" fillId="31" borderId="0" applyNumberFormat="0" applyBorder="0" applyAlignment="0">
      <protection/>
    </xf>
    <xf numFmtId="255" fontId="95" fillId="31" borderId="0" applyNumberFormat="0" applyBorder="0" applyAlignment="0">
      <protection/>
    </xf>
    <xf numFmtId="0" fontId="56" fillId="0" borderId="0" applyFill="0" applyBorder="0" applyAlignment="0">
      <protection/>
    </xf>
    <xf numFmtId="0" fontId="56" fillId="0" borderId="0" applyFill="0" applyBorder="0" applyAlignment="0">
      <protection/>
    </xf>
    <xf numFmtId="0" fontId="57" fillId="0" borderId="0" applyFill="0" applyBorder="0" applyAlignment="0">
      <protection/>
    </xf>
    <xf numFmtId="0" fontId="19" fillId="0" borderId="19" applyNumberFormat="0" applyFill="0" applyAlignment="0" applyProtection="0"/>
    <xf numFmtId="256" fontId="96" fillId="0" borderId="8" applyFont="0" applyFill="0" applyBorder="0" applyAlignment="0" applyProtection="0"/>
    <xf numFmtId="0" fontId="97" fillId="0" borderId="8" applyFill="0">
      <alignment horizontal="center" vertical="center"/>
      <protection/>
    </xf>
    <xf numFmtId="0" fontId="25" fillId="0" borderId="8" applyFill="0">
      <alignment horizontal="center" vertical="center"/>
      <protection/>
    </xf>
    <xf numFmtId="257" fontId="25" fillId="0" borderId="8" applyFill="0">
      <alignment horizontal="center" vertical="center"/>
      <protection/>
    </xf>
    <xf numFmtId="0" fontId="53" fillId="0" borderId="20" applyFill="0">
      <alignment horizontal="center" vertical="center"/>
      <protection/>
    </xf>
    <xf numFmtId="0" fontId="81" fillId="0" borderId="20" applyFill="0">
      <alignment horizontal="center" vertical="center"/>
      <protection/>
    </xf>
    <xf numFmtId="258" fontId="53" fillId="0" borderId="20" applyFill="0">
      <alignment horizontal="center" vertical="center"/>
      <protection/>
    </xf>
    <xf numFmtId="37" fontId="98" fillId="0" borderId="20" applyFill="0">
      <alignment horizontal="center" vertical="center"/>
      <protection/>
    </xf>
    <xf numFmtId="259" fontId="78" fillId="0" borderId="0" applyFont="0" applyFill="0" applyBorder="0" applyAlignment="0" applyProtection="0"/>
    <xf numFmtId="260" fontId="55" fillId="0" borderId="0" applyFont="0" applyFill="0" applyBorder="0" applyAlignment="0" applyProtection="0"/>
    <xf numFmtId="261" fontId="55" fillId="0" borderId="0" applyFont="0" applyFill="0" applyBorder="0" applyAlignment="0" applyProtection="0"/>
    <xf numFmtId="0" fontId="99" fillId="0" borderId="0" applyNumberFormat="0" applyBorder="0" applyProtection="0">
      <alignment vertical="top"/>
    </xf>
    <xf numFmtId="262" fontId="93" fillId="0" borderId="0" applyFont="0" applyFill="0" applyBorder="0" applyAlignment="0" applyProtection="0"/>
    <xf numFmtId="263" fontId="25" fillId="0" borderId="0" applyFill="0" applyBorder="0" applyProtection="0">
      <alignment/>
    </xf>
    <xf numFmtId="0" fontId="100" fillId="0" borderId="21" applyFont="0" applyBorder="0">
      <alignment/>
      <protection/>
    </xf>
    <xf numFmtId="199" fontId="53" fillId="0" borderId="0" applyFill="0" applyBorder="0">
      <alignment horizontal="center" vertical="center"/>
      <protection/>
    </xf>
    <xf numFmtId="200" fontId="53" fillId="0" borderId="0" applyFill="0" applyBorder="0">
      <alignment horizontal="center" vertical="center"/>
      <protection/>
    </xf>
    <xf numFmtId="201" fontId="53" fillId="0" borderId="0" applyFill="0" applyBorder="0">
      <alignment horizontal="center" vertical="center"/>
      <protection/>
    </xf>
    <xf numFmtId="202" fontId="53" fillId="0" borderId="0" applyFill="0" applyBorder="0">
      <alignment horizontal="center" vertical="center"/>
      <protection/>
    </xf>
    <xf numFmtId="203" fontId="53" fillId="0" borderId="0" applyFill="0" applyBorder="0">
      <alignment horizontal="center" vertical="center"/>
      <protection/>
    </xf>
    <xf numFmtId="0" fontId="53" fillId="0" borderId="0" applyFill="0" applyBorder="0">
      <alignment horizontal="center" vertical="center"/>
      <protection/>
    </xf>
    <xf numFmtId="204" fontId="53" fillId="0" borderId="0" applyFill="0" applyBorder="0">
      <alignment horizontal="center" vertical="center"/>
      <protection/>
    </xf>
    <xf numFmtId="0" fontId="0" fillId="0" borderId="0" applyFont="0" applyFill="0" applyBorder="0" applyAlignment="0" applyProtection="0"/>
    <xf numFmtId="0" fontId="25" fillId="0" borderId="0">
      <alignment/>
      <protection/>
    </xf>
    <xf numFmtId="264" fontId="55" fillId="0" borderId="0" applyFont="0" applyFill="0" applyBorder="0" applyAlignment="0" applyProtection="0"/>
    <xf numFmtId="265" fontId="42" fillId="0" borderId="0" applyFont="0" applyFill="0" applyBorder="0" applyAlignment="0" applyProtection="0"/>
    <xf numFmtId="0" fontId="66" fillId="0" borderId="0" applyFill="0" applyBorder="0">
      <alignment horizontal="left" vertical="center"/>
      <protection/>
    </xf>
    <xf numFmtId="266" fontId="52" fillId="30" borderId="0" applyFont="0" applyFill="0" applyBorder="0" applyProtection="0">
      <alignment horizontal="right" vertical="center"/>
    </xf>
    <xf numFmtId="267" fontId="0" fillId="0" borderId="0" applyFont="0" applyFill="0" applyBorder="0" applyAlignment="0" applyProtection="0"/>
    <xf numFmtId="268" fontId="42" fillId="0" borderId="0" applyFont="0" applyFill="0" applyBorder="0" applyAlignment="0" applyProtection="0"/>
    <xf numFmtId="269" fontId="66" fillId="0" borderId="0">
      <alignment horizontal="center"/>
      <protection/>
    </xf>
    <xf numFmtId="270" fontId="55" fillId="0" borderId="0" applyFont="0" applyFill="0" applyBorder="0" applyAlignment="0" applyProtection="0"/>
    <xf numFmtId="271" fontId="101" fillId="0" borderId="0" applyFont="0" applyFill="0" applyBorder="0" applyAlignment="0" applyProtection="0"/>
    <xf numFmtId="272" fontId="25" fillId="0" borderId="0">
      <alignment/>
      <protection/>
    </xf>
    <xf numFmtId="273" fontId="25" fillId="0" borderId="0" applyFill="0" applyAlignment="0">
      <protection/>
    </xf>
    <xf numFmtId="0" fontId="20" fillId="27" borderId="0" applyNumberFormat="0" applyBorder="0" applyAlignment="0" applyProtection="0"/>
    <xf numFmtId="0" fontId="56" fillId="0" borderId="0">
      <alignment/>
      <protection/>
    </xf>
    <xf numFmtId="0" fontId="102" fillId="0" borderId="0">
      <alignment/>
      <protection/>
    </xf>
    <xf numFmtId="0" fontId="7" fillId="0" borderId="0">
      <alignment/>
      <protection/>
    </xf>
    <xf numFmtId="172" fontId="7" fillId="0" borderId="0">
      <alignment/>
      <protection/>
    </xf>
    <xf numFmtId="0" fontId="0" fillId="0" borderId="0">
      <alignment/>
      <protection/>
    </xf>
    <xf numFmtId="0" fontId="0" fillId="0" borderId="0">
      <alignment/>
      <protection/>
    </xf>
    <xf numFmtId="172" fontId="7" fillId="0" borderId="0">
      <alignment/>
      <protection/>
    </xf>
    <xf numFmtId="0" fontId="7" fillId="0" borderId="0">
      <alignment/>
      <protection/>
    </xf>
    <xf numFmtId="274" fontId="64" fillId="0" borderId="13" applyFont="0" applyFill="0" applyBorder="0" applyAlignment="0" applyProtection="0"/>
    <xf numFmtId="0" fontId="0" fillId="31" borderId="22" applyNumberFormat="0" applyFont="0" applyAlignment="0" applyProtection="0"/>
    <xf numFmtId="275" fontId="103" fillId="0" borderId="0">
      <alignment horizontal="right"/>
      <protection/>
    </xf>
    <xf numFmtId="168" fontId="0" fillId="27" borderId="8">
      <alignment/>
      <protection/>
    </xf>
    <xf numFmtId="0" fontId="60" fillId="0" borderId="0">
      <alignment horizontal="left"/>
      <protection/>
    </xf>
    <xf numFmtId="0" fontId="104" fillId="0" borderId="0" applyNumberFormat="0" applyFill="0" applyBorder="0" applyAlignment="0" applyProtection="0"/>
    <xf numFmtId="0" fontId="21" fillId="25" borderId="23" applyNumberFormat="0" applyAlignment="0" applyProtection="0"/>
    <xf numFmtId="276" fontId="70" fillId="32" borderId="0">
      <alignment horizontal="right"/>
      <protection/>
    </xf>
    <xf numFmtId="0" fontId="105" fillId="0" borderId="0" applyFill="0" applyBorder="0">
      <alignment vertical="center"/>
      <protection/>
    </xf>
    <xf numFmtId="193" fontId="98" fillId="0" borderId="0" applyFill="0" applyBorder="0">
      <alignment horizontal="center" vertical="center"/>
      <protection/>
    </xf>
    <xf numFmtId="240" fontId="98" fillId="0" borderId="0" applyFill="0" applyBorder="0">
      <alignment horizontal="right" vertical="center"/>
      <protection/>
    </xf>
    <xf numFmtId="195" fontId="98" fillId="0" borderId="0" applyFill="0" applyBorder="0">
      <alignment horizontal="center" vertical="center"/>
      <protection/>
    </xf>
    <xf numFmtId="196" fontId="98" fillId="0" borderId="0" applyFill="0" applyBorder="0">
      <alignment horizontal="center" vertical="center"/>
      <protection/>
    </xf>
    <xf numFmtId="197" fontId="98" fillId="0" borderId="0" applyFill="0" applyBorder="0">
      <alignment horizontal="center" vertical="center"/>
      <protection/>
    </xf>
    <xf numFmtId="0" fontId="106" fillId="0" borderId="0" applyFill="0" applyBorder="0">
      <alignment horizontal="right" vertical="center"/>
      <protection/>
    </xf>
    <xf numFmtId="198" fontId="98" fillId="0" borderId="0" applyFill="0" applyBorder="0">
      <alignment horizontal="right" vertical="center"/>
      <protection/>
    </xf>
    <xf numFmtId="0" fontId="9" fillId="0" borderId="0" applyFill="0" applyBorder="0">
      <alignment vertical="center"/>
      <protection/>
    </xf>
    <xf numFmtId="0" fontId="107" fillId="0" borderId="0" applyFill="0" applyBorder="0">
      <alignment vertical="center"/>
      <protection/>
    </xf>
    <xf numFmtId="0" fontId="106" fillId="0" borderId="0" applyFill="0" applyBorder="0">
      <alignment vertical="center"/>
      <protection/>
    </xf>
    <xf numFmtId="0" fontId="98" fillId="0" borderId="0" applyFill="0" applyBorder="0">
      <alignment vertical="center"/>
      <protection/>
    </xf>
    <xf numFmtId="0" fontId="108" fillId="22" borderId="24">
      <alignment/>
      <protection/>
    </xf>
    <xf numFmtId="164" fontId="98" fillId="0" borderId="0" applyFill="0" applyBorder="0">
      <alignment horizontal="center" vertical="center"/>
      <protection/>
    </xf>
    <xf numFmtId="184" fontId="98" fillId="0" borderId="0" applyFill="0" applyBorder="0">
      <alignment horizontal="center" vertical="center"/>
      <protection/>
    </xf>
    <xf numFmtId="185" fontId="98" fillId="0" borderId="0" applyFill="0" applyBorder="0">
      <alignment horizontal="center" vertical="center"/>
      <protection/>
    </xf>
    <xf numFmtId="37" fontId="98" fillId="0" borderId="0" applyFill="0" applyBorder="0">
      <alignment horizontal="center" vertical="center"/>
      <protection/>
    </xf>
    <xf numFmtId="186" fontId="98" fillId="0" borderId="0" applyFill="0" applyBorder="0">
      <alignment horizontal="center" vertical="center"/>
      <protection/>
    </xf>
    <xf numFmtId="0" fontId="98" fillId="0" borderId="0" applyFill="0" applyBorder="0">
      <alignment horizontal="center" vertical="center"/>
      <protection/>
    </xf>
    <xf numFmtId="187" fontId="98" fillId="0" borderId="0" applyFill="0" applyBorder="0">
      <alignment horizontal="center" vertical="center"/>
      <protection/>
    </xf>
    <xf numFmtId="0" fontId="84" fillId="0" borderId="0" applyFill="0" applyBorder="0">
      <alignment vertical="center"/>
      <protection/>
    </xf>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0" fillId="12" borderId="0">
      <alignment horizontal="right"/>
      <protection locked="0"/>
    </xf>
    <xf numFmtId="277" fontId="0" fillId="0" borderId="0">
      <alignment/>
      <protection/>
    </xf>
    <xf numFmtId="0" fontId="97" fillId="0" borderId="0" applyFill="0" applyBorder="0">
      <alignment vertical="center"/>
      <protection/>
    </xf>
    <xf numFmtId="278" fontId="25" fillId="0" borderId="0" applyFont="0" applyFill="0" applyBorder="0" applyAlignment="0" applyProtection="0"/>
    <xf numFmtId="0" fontId="25" fillId="0" borderId="0">
      <alignment horizontal="center"/>
      <protection/>
    </xf>
    <xf numFmtId="3" fontId="0" fillId="0" borderId="0">
      <alignment/>
      <protection/>
    </xf>
    <xf numFmtId="188" fontId="109" fillId="0" borderId="0" applyFill="0" applyBorder="0">
      <alignment horizontal="right" vertical="center"/>
      <protection/>
    </xf>
    <xf numFmtId="205" fontId="109" fillId="0" borderId="0" applyFill="0" applyBorder="0">
      <alignment horizontal="right" vertical="center"/>
      <protection/>
    </xf>
    <xf numFmtId="0" fontId="110" fillId="0" borderId="0" applyFill="0" applyBorder="0">
      <alignment vertical="center"/>
      <protection/>
    </xf>
    <xf numFmtId="0" fontId="111" fillId="0" borderId="0" applyFill="0" applyBorder="0">
      <alignment vertical="center"/>
      <protection/>
    </xf>
    <xf numFmtId="0" fontId="112" fillId="0" borderId="0" applyFill="0" applyBorder="0">
      <alignment vertical="center"/>
      <protection/>
    </xf>
    <xf numFmtId="0" fontId="109" fillId="0" borderId="0" applyFill="0" applyBorder="0">
      <alignment vertical="center"/>
      <protection/>
    </xf>
    <xf numFmtId="0" fontId="86" fillId="0" borderId="0" applyFill="0" applyBorder="0">
      <alignment horizontal="center" vertical="center"/>
      <protection locked="0"/>
    </xf>
    <xf numFmtId="0" fontId="86" fillId="0" borderId="0" applyFill="0" applyBorder="0">
      <alignment horizontal="center" vertical="center"/>
      <protection locked="0"/>
    </xf>
    <xf numFmtId="0" fontId="113" fillId="0" borderId="0" applyFill="0" applyBorder="0">
      <alignment horizontal="left" vertical="center"/>
      <protection locked="0"/>
    </xf>
    <xf numFmtId="0" fontId="114" fillId="0" borderId="0" applyFill="0" applyBorder="0">
      <alignment horizontal="left" vertical="center"/>
      <protection/>
    </xf>
    <xf numFmtId="189" fontId="109" fillId="0" borderId="0" applyFill="0" applyBorder="0">
      <alignment horizontal="right" vertical="center"/>
      <protection/>
    </xf>
    <xf numFmtId="0" fontId="109" fillId="0" borderId="0" applyFill="0" applyBorder="0">
      <alignment vertical="center"/>
      <protection/>
    </xf>
    <xf numFmtId="190" fontId="109" fillId="0" borderId="0" applyFill="0" applyBorder="0">
      <alignment horizontal="right" vertical="center"/>
      <protection/>
    </xf>
    <xf numFmtId="191" fontId="109" fillId="0" borderId="0" applyFill="0" applyBorder="0">
      <alignment horizontal="right" vertical="center"/>
      <protection/>
    </xf>
    <xf numFmtId="0" fontId="112" fillId="0" borderId="0" applyFill="0" applyBorder="0">
      <alignment vertical="center"/>
      <protection/>
    </xf>
    <xf numFmtId="190" fontId="115" fillId="0" borderId="0" applyFill="0" applyBorder="0">
      <alignment horizontal="left" vertical="center"/>
      <protection/>
    </xf>
    <xf numFmtId="0" fontId="116" fillId="0" borderId="0" applyFill="0" applyBorder="0">
      <alignment horizontal="left" vertical="center"/>
      <protection/>
    </xf>
    <xf numFmtId="192" fontId="109" fillId="0" borderId="0" applyFill="0" applyBorder="0">
      <alignment horizontal="right" vertical="center"/>
      <protection/>
    </xf>
    <xf numFmtId="279" fontId="117" fillId="0" borderId="0" applyFont="0" applyFill="0" applyBorder="0" applyAlignment="0" applyProtection="0"/>
    <xf numFmtId="280" fontId="118" fillId="0" borderId="25" applyFont="0" applyFill="0" applyBorder="0" applyAlignment="0" applyProtection="0"/>
    <xf numFmtId="281" fontId="0" fillId="0" borderId="0" applyFont="0" applyFill="0" applyBorder="0" applyAlignment="0" applyProtection="0"/>
    <xf numFmtId="0" fontId="0" fillId="0" borderId="0" applyFont="0" applyFill="0" applyBorder="0" applyAlignment="0" applyProtection="0"/>
    <xf numFmtId="282" fontId="0" fillId="0" borderId="0">
      <alignment/>
      <protection/>
    </xf>
    <xf numFmtId="188" fontId="25" fillId="0" borderId="0" applyFill="0" applyBorder="0">
      <alignment horizontal="right" vertical="center"/>
      <protection/>
    </xf>
    <xf numFmtId="205" fontId="25" fillId="0" borderId="0" applyFill="0" applyBorder="0">
      <alignment horizontal="right" vertical="center"/>
      <protection/>
    </xf>
    <xf numFmtId="189" fontId="25" fillId="0" borderId="0" applyFill="0" applyBorder="0">
      <alignment horizontal="right" vertical="center"/>
      <protection/>
    </xf>
    <xf numFmtId="190" fontId="25" fillId="0" borderId="0" applyFill="0" applyBorder="0">
      <alignment horizontal="right" vertical="center"/>
      <protection/>
    </xf>
    <xf numFmtId="191" fontId="25" fillId="0" borderId="0" applyFill="0" applyBorder="0">
      <alignment horizontal="right" vertical="center"/>
      <protection/>
    </xf>
    <xf numFmtId="192" fontId="25" fillId="0" borderId="0" applyFill="0" applyBorder="0">
      <alignment horizontal="right" vertical="center"/>
      <protection/>
    </xf>
    <xf numFmtId="283" fontId="64" fillId="0" borderId="0" applyFont="0" applyFill="0" applyBorder="0" applyAlignment="0" applyProtection="0"/>
    <xf numFmtId="284" fontId="55" fillId="0" borderId="0" applyFont="0" applyFill="0" applyBorder="0" applyAlignment="0" applyProtection="0"/>
    <xf numFmtId="285" fontId="55" fillId="0" borderId="0" applyFont="0" applyFill="0" applyBorder="0" applyAlignment="0" applyProtection="0"/>
    <xf numFmtId="4" fontId="119" fillId="31" borderId="17" applyNumberFormat="0" applyProtection="0">
      <alignment vertical="center"/>
    </xf>
    <xf numFmtId="4" fontId="120" fillId="27" borderId="26" applyNumberFormat="0" applyProtection="0">
      <alignment vertical="center"/>
    </xf>
    <xf numFmtId="4" fontId="121" fillId="33" borderId="17" applyNumberFormat="0" applyProtection="0">
      <alignment horizontal="left" vertical="center" indent="1"/>
    </xf>
    <xf numFmtId="4" fontId="122" fillId="34" borderId="27" applyNumberFormat="0" applyProtection="0">
      <alignment horizontal="left" vertical="center" indent="1"/>
    </xf>
    <xf numFmtId="4" fontId="123" fillId="4" borderId="27" applyNumberFormat="0" applyProtection="0">
      <alignment horizontal="right" vertical="center"/>
    </xf>
    <xf numFmtId="4" fontId="123" fillId="35" borderId="27" applyNumberFormat="0" applyProtection="0">
      <alignment horizontal="right" vertical="center"/>
    </xf>
    <xf numFmtId="4" fontId="123" fillId="10" borderId="27" applyNumberFormat="0" applyProtection="0">
      <alignment horizontal="right" vertical="center"/>
    </xf>
    <xf numFmtId="4" fontId="123" fillId="31" borderId="27" applyNumberFormat="0" applyProtection="0">
      <alignment horizontal="right" vertical="center"/>
    </xf>
    <xf numFmtId="4" fontId="123" fillId="27" borderId="27" applyNumberFormat="0" applyProtection="0">
      <alignment horizontal="right" vertical="center"/>
    </xf>
    <xf numFmtId="4" fontId="123" fillId="2" borderId="27" applyNumberFormat="0" applyProtection="0">
      <alignment horizontal="right" vertical="center"/>
    </xf>
    <xf numFmtId="4" fontId="123" fillId="36" borderId="27" applyNumberFormat="0" applyProtection="0">
      <alignment horizontal="right" vertical="center"/>
    </xf>
    <xf numFmtId="4" fontId="123" fillId="14" borderId="27" applyNumberFormat="0" applyProtection="0">
      <alignment horizontal="right" vertical="center"/>
    </xf>
    <xf numFmtId="4" fontId="123" fillId="5" borderId="27" applyNumberFormat="0" applyProtection="0">
      <alignment horizontal="right" vertical="center"/>
    </xf>
    <xf numFmtId="4" fontId="124" fillId="37" borderId="27" applyNumberFormat="0" applyProtection="0">
      <alignment horizontal="left" vertical="center" indent="1"/>
    </xf>
    <xf numFmtId="4" fontId="125" fillId="13" borderId="27" applyNumberFormat="0" applyProtection="0">
      <alignment horizontal="left" vertical="center" indent="1"/>
    </xf>
    <xf numFmtId="4" fontId="84" fillId="34" borderId="0" applyNumberFormat="0" applyProtection="0">
      <alignment horizontal="left" vertical="center" indent="1"/>
    </xf>
    <xf numFmtId="4" fontId="123" fillId="25" borderId="26" applyNumberFormat="0" applyProtection="0">
      <alignment horizontal="right" vertical="center"/>
    </xf>
    <xf numFmtId="4" fontId="121" fillId="13" borderId="27" applyNumberFormat="0" applyProtection="0">
      <alignment horizontal="left" vertical="center" indent="1"/>
    </xf>
    <xf numFmtId="4" fontId="122" fillId="34" borderId="27" applyNumberFormat="0" applyProtection="0">
      <alignment horizontal="left" vertical="center" indent="1"/>
    </xf>
    <xf numFmtId="4" fontId="126" fillId="32" borderId="26" applyNumberFormat="0" applyProtection="0">
      <alignment vertical="center"/>
    </xf>
    <xf numFmtId="4" fontId="127" fillId="32" borderId="26" applyNumberFormat="0" applyProtection="0">
      <alignment vertical="center"/>
    </xf>
    <xf numFmtId="4" fontId="84" fillId="13" borderId="28" applyNumberFormat="0" applyProtection="0">
      <alignment horizontal="left" vertical="center" indent="1"/>
    </xf>
    <xf numFmtId="4" fontId="128" fillId="32" borderId="27" applyNumberFormat="0" applyProtection="0">
      <alignment horizontal="right" vertical="center"/>
    </xf>
    <xf numFmtId="4" fontId="127" fillId="32" borderId="26" applyNumberFormat="0" applyProtection="0">
      <alignment horizontal="right" vertical="center"/>
    </xf>
    <xf numFmtId="4" fontId="129" fillId="13" borderId="27" applyNumberFormat="0" applyProtection="0">
      <alignment horizontal="left" vertical="center" indent="1"/>
    </xf>
    <xf numFmtId="4" fontId="130" fillId="34" borderId="0" applyNumberFormat="0" applyProtection="0">
      <alignment horizontal="left" vertical="center" indent="1"/>
    </xf>
    <xf numFmtId="4" fontId="131" fillId="32" borderId="26" applyNumberFormat="0" applyProtection="0">
      <alignment horizontal="right" vertical="center"/>
    </xf>
    <xf numFmtId="0" fontId="0" fillId="0" borderId="0" applyNumberFormat="0" applyFont="0" applyFill="0" applyBorder="0" applyAlignment="0" applyProtection="0"/>
    <xf numFmtId="0" fontId="132" fillId="0" borderId="0">
      <alignment/>
      <protection/>
    </xf>
    <xf numFmtId="0" fontId="66" fillId="0" borderId="0">
      <alignment/>
      <protection/>
    </xf>
    <xf numFmtId="0" fontId="133" fillId="0" borderId="0" applyFill="0" applyBorder="0">
      <alignment horizontal="left" vertical="center"/>
      <protection/>
    </xf>
    <xf numFmtId="0" fontId="134" fillId="19" borderId="0">
      <alignment/>
      <protection/>
    </xf>
    <xf numFmtId="0" fontId="134" fillId="19" borderId="0">
      <alignment wrapText="1"/>
      <protection/>
    </xf>
    <xf numFmtId="0" fontId="0" fillId="0" borderId="0">
      <alignment/>
      <protection/>
    </xf>
    <xf numFmtId="0" fontId="85" fillId="0" borderId="0" applyFill="0" applyBorder="0">
      <alignment horizontal="left" vertical="center"/>
      <protection/>
    </xf>
    <xf numFmtId="286" fontId="55" fillId="0" borderId="0" applyFont="0" applyFill="0" applyBorder="0" applyAlignment="0" applyProtection="0"/>
    <xf numFmtId="0" fontId="0" fillId="0" borderId="29">
      <alignment/>
      <protection/>
    </xf>
    <xf numFmtId="287" fontId="70" fillId="0" borderId="0" applyFill="0" applyBorder="0" applyAlignment="0">
      <protection/>
    </xf>
    <xf numFmtId="0" fontId="0" fillId="5" borderId="8">
      <alignment/>
      <protection/>
    </xf>
    <xf numFmtId="0" fontId="0" fillId="0" borderId="0">
      <alignment/>
      <protection/>
    </xf>
    <xf numFmtId="244" fontId="0"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6" fillId="0" borderId="0" applyNumberFormat="0" applyBorder="0" applyProtection="0">
      <alignment vertical="top"/>
    </xf>
    <xf numFmtId="0" fontId="137" fillId="0" borderId="0">
      <alignment vertical="top"/>
      <protection/>
    </xf>
    <xf numFmtId="0" fontId="138" fillId="38" borderId="0">
      <alignment/>
      <protection/>
    </xf>
    <xf numFmtId="0" fontId="139" fillId="0" borderId="0">
      <alignment/>
      <protection/>
    </xf>
    <xf numFmtId="0" fontId="140" fillId="25" borderId="30">
      <alignment/>
      <protection/>
    </xf>
    <xf numFmtId="0" fontId="0" fillId="0" borderId="9" applyNumberFormat="0" applyFont="0" applyFill="0" applyAlignment="0">
      <protection/>
    </xf>
    <xf numFmtId="0" fontId="141" fillId="5" borderId="8">
      <alignment horizontal="right"/>
      <protection/>
    </xf>
    <xf numFmtId="288" fontId="25" fillId="0" borderId="0" applyFill="0" applyBorder="0" applyProtection="0">
      <alignment/>
    </xf>
    <xf numFmtId="0" fontId="97" fillId="0" borderId="0" applyBorder="0" applyProtection="0">
      <alignment horizontal="left"/>
    </xf>
    <xf numFmtId="0" fontId="142" fillId="0" borderId="0" applyFill="0" applyBorder="0" applyProtection="0">
      <alignment horizontal="left"/>
    </xf>
    <xf numFmtId="0" fontId="25" fillId="0" borderId="30" applyFill="0" applyBorder="0" applyProtection="0">
      <alignment horizontal="left" vertical="top"/>
    </xf>
    <xf numFmtId="0" fontId="48" fillId="17" borderId="31">
      <alignment/>
      <protection/>
    </xf>
    <xf numFmtId="289" fontId="114" fillId="17" borderId="0" applyFont="0" applyBorder="0" applyAlignment="0" applyProtection="0"/>
    <xf numFmtId="0" fontId="103" fillId="0" borderId="0" applyFill="0" applyBorder="0">
      <alignment vertical="center"/>
      <protection/>
    </xf>
    <xf numFmtId="0" fontId="143" fillId="0" borderId="0">
      <alignment vertical="center"/>
      <protection/>
    </xf>
    <xf numFmtId="0" fontId="143" fillId="0" borderId="32" applyAlignment="0">
      <protection/>
    </xf>
    <xf numFmtId="20" fontId="0" fillId="0" borderId="0" applyFont="0" applyFill="0" applyBorder="0" applyAlignment="0" applyProtection="0"/>
    <xf numFmtId="168" fontId="0" fillId="0" borderId="0">
      <alignment/>
      <protection/>
    </xf>
    <xf numFmtId="0" fontId="22" fillId="0" borderId="0" applyNumberFormat="0" applyFill="0" applyBorder="0" applyAlignment="0" applyProtection="0"/>
    <xf numFmtId="0" fontId="0" fillId="25" borderId="0" applyNumberFormat="0" applyFont="0" applyBorder="0" applyAlignment="0">
      <protection/>
    </xf>
    <xf numFmtId="0" fontId="144" fillId="0" borderId="0" applyFill="0" applyBorder="0">
      <alignment horizontal="left" vertical="center"/>
      <protection locked="0"/>
    </xf>
    <xf numFmtId="0" fontId="145" fillId="0" borderId="0" applyFill="0" applyBorder="0">
      <alignment horizontal="left" vertical="center"/>
      <protection locked="0"/>
    </xf>
    <xf numFmtId="0" fontId="146" fillId="0" borderId="0" applyFill="0" applyBorder="0">
      <alignment horizontal="left" vertical="center"/>
      <protection locked="0"/>
    </xf>
    <xf numFmtId="0" fontId="147" fillId="0" borderId="0" applyFill="0" applyBorder="0">
      <alignment horizontal="left" vertical="center"/>
      <protection locked="0"/>
    </xf>
    <xf numFmtId="290" fontId="42" fillId="24" borderId="0" applyFont="0" applyBorder="0" applyAlignment="0" applyProtection="0"/>
    <xf numFmtId="291" fontId="79" fillId="0" borderId="0" applyFont="0" applyFill="0" applyBorder="0" applyAlignment="0" applyProtection="0"/>
    <xf numFmtId="237" fontId="79" fillId="0" borderId="0" applyFont="0" applyFill="0" applyBorder="0" applyAlignment="0" applyProtection="0"/>
    <xf numFmtId="237" fontId="75" fillId="0" borderId="0" applyFont="0" applyFill="0" applyBorder="0" applyAlignment="0" applyProtection="0"/>
    <xf numFmtId="292" fontId="148" fillId="0" borderId="1" applyFont="0" applyFill="0" applyBorder="0" applyAlignment="0" applyProtection="0"/>
    <xf numFmtId="270" fontId="149" fillId="0" borderId="0" applyFont="0" applyFill="0" applyBorder="0" applyAlignment="0" applyProtection="0"/>
    <xf numFmtId="0" fontId="23" fillId="0" borderId="33" applyNumberFormat="0" applyFill="0" applyAlignment="0" applyProtection="0"/>
    <xf numFmtId="0" fontId="148" fillId="0" borderId="0">
      <alignment/>
      <protection/>
    </xf>
    <xf numFmtId="168" fontId="0" fillId="0" borderId="34">
      <alignment/>
      <protection/>
    </xf>
    <xf numFmtId="293" fontId="42" fillId="0" borderId="0" applyFont="0" applyFill="0" applyBorder="0" applyAlignment="0" applyProtection="0"/>
    <xf numFmtId="294" fontId="42" fillId="0" borderId="0" applyFont="0" applyFill="0" applyBorder="0" applyAlignment="0" applyProtection="0"/>
    <xf numFmtId="295" fontId="42" fillId="0" borderId="0" applyFont="0" applyFill="0" applyBorder="0" applyAlignment="0" applyProtection="0"/>
    <xf numFmtId="0" fontId="150" fillId="20" borderId="8">
      <alignment/>
      <protection/>
    </xf>
    <xf numFmtId="40" fontId="151" fillId="0" borderId="0" applyNumberFormat="0" applyFill="0" applyBorder="0" applyAlignment="0">
      <protection locked="0"/>
    </xf>
    <xf numFmtId="296" fontId="83" fillId="0" borderId="35" applyFont="0" applyFill="0" applyBorder="0" applyAlignment="0" applyProtection="0"/>
    <xf numFmtId="297" fontId="152" fillId="0" borderId="0" applyFont="0" applyFill="0" applyBorder="0" applyAlignment="0" applyProtection="0"/>
    <xf numFmtId="298" fontId="55" fillId="39" borderId="0" applyFont="0" applyFill="0" applyBorder="0" applyAlignment="0" applyProtection="0"/>
    <xf numFmtId="299" fontId="55" fillId="0" borderId="0" applyFont="0" applyFill="0" applyBorder="0" applyAlignment="0" applyProtection="0"/>
    <xf numFmtId="300" fontId="55" fillId="0" borderId="0" applyFont="0" applyFill="0" applyBorder="0" applyAlignment="0" applyProtection="0"/>
    <xf numFmtId="0" fontId="153" fillId="0" borderId="0" applyNumberFormat="0" applyFill="0" applyBorder="0">
      <alignment/>
      <protection/>
    </xf>
    <xf numFmtId="0" fontId="24" fillId="0" borderId="0" applyNumberFormat="0" applyFill="0" applyBorder="0" applyAlignment="0" applyProtection="0"/>
    <xf numFmtId="0" fontId="60" fillId="0" borderId="0" applyNumberFormat="0" applyFill="0" applyBorder="0" applyAlignment="0">
      <protection/>
    </xf>
    <xf numFmtId="38" fontId="148" fillId="5" borderId="10">
      <alignment/>
      <protection/>
    </xf>
    <xf numFmtId="301" fontId="42" fillId="2" borderId="0" applyFont="0" applyFill="0" applyBorder="0" applyAlignment="0" applyProtection="0"/>
    <xf numFmtId="0" fontId="148" fillId="0" borderId="0">
      <alignment horizontal="center"/>
      <protection/>
    </xf>
    <xf numFmtId="302" fontId="148" fillId="0" borderId="0">
      <alignment/>
      <protection/>
    </xf>
    <xf numFmtId="303" fontId="25" fillId="0" borderId="0" applyFont="0" applyFill="0" applyBorder="0" applyAlignment="0" applyProtection="0"/>
    <xf numFmtId="1" fontId="154" fillId="0" borderId="31" applyFont="0" applyFill="0" applyBorder="0" applyAlignment="0" applyProtection="0"/>
    <xf numFmtId="304" fontId="0" fillId="0" borderId="0" applyFont="0" applyFill="0" applyBorder="0" applyAlignment="0" applyProtection="0"/>
    <xf numFmtId="305" fontId="0" fillId="0" borderId="0" applyFont="0" applyFill="0" applyBorder="0" applyAlignment="0" applyProtection="0"/>
  </cellStyleXfs>
  <cellXfs count="25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14" fontId="1" fillId="0" borderId="0" xfId="0" applyNumberFormat="1" applyFont="1" applyAlignment="1">
      <alignment/>
    </xf>
    <xf numFmtId="0" fontId="1" fillId="0" borderId="0" xfId="0" applyFont="1" applyAlignment="1">
      <alignment horizontal="center"/>
    </xf>
    <xf numFmtId="43" fontId="1" fillId="0" borderId="0" xfId="133" applyFont="1" applyAlignment="1">
      <alignment/>
    </xf>
    <xf numFmtId="168" fontId="1" fillId="0" borderId="0" xfId="133" applyNumberFormat="1" applyFont="1" applyAlignment="1">
      <alignment/>
    </xf>
    <xf numFmtId="0" fontId="2" fillId="0" borderId="0" xfId="0" applyFont="1" applyAlignment="1">
      <alignment horizontal="center"/>
    </xf>
    <xf numFmtId="0" fontId="1" fillId="6" borderId="0" xfId="0" applyFont="1" applyFill="1" applyAlignment="1">
      <alignment horizontal="center"/>
    </xf>
    <xf numFmtId="168" fontId="1" fillId="0" borderId="0" xfId="0" applyNumberFormat="1" applyFont="1" applyAlignment="1">
      <alignment/>
    </xf>
    <xf numFmtId="165" fontId="1" fillId="0" borderId="0" xfId="0" applyNumberFormat="1"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horizontal="left"/>
    </xf>
    <xf numFmtId="43" fontId="1" fillId="0" borderId="0" xfId="133" applyNumberFormat="1" applyFont="1" applyAlignment="1">
      <alignment/>
    </xf>
    <xf numFmtId="168" fontId="1" fillId="0" borderId="15" xfId="0" applyNumberFormat="1" applyFont="1" applyBorder="1" applyAlignment="1">
      <alignment/>
    </xf>
    <xf numFmtId="14" fontId="1" fillId="0" borderId="0" xfId="0" applyNumberFormat="1" applyFont="1" applyAlignment="1">
      <alignment horizontal="center"/>
    </xf>
    <xf numFmtId="10" fontId="1" fillId="0" borderId="0" xfId="0" applyNumberFormat="1" applyFont="1" applyAlignment="1">
      <alignment/>
    </xf>
    <xf numFmtId="168" fontId="1" fillId="0" borderId="0" xfId="0" applyNumberFormat="1" applyFont="1" applyBorder="1" applyAlignment="1">
      <alignment/>
    </xf>
    <xf numFmtId="43" fontId="1" fillId="0" borderId="0" xfId="0" applyNumberFormat="1" applyFont="1" applyAlignment="1">
      <alignment/>
    </xf>
    <xf numFmtId="0" fontId="1" fillId="0" borderId="0" xfId="0" applyFont="1" applyAlignment="1">
      <alignment horizontal="left" indent="1"/>
    </xf>
    <xf numFmtId="168" fontId="2" fillId="0" borderId="15" xfId="133" applyNumberFormat="1" applyFont="1" applyBorder="1" applyAlignment="1">
      <alignment/>
    </xf>
    <xf numFmtId="2" fontId="1" fillId="0" borderId="0" xfId="0" applyNumberFormat="1" applyFont="1" applyAlignment="1">
      <alignment/>
    </xf>
    <xf numFmtId="0" fontId="1" fillId="0" borderId="0" xfId="0" applyFont="1" applyFill="1" applyAlignment="1">
      <alignment/>
    </xf>
    <xf numFmtId="166" fontId="1" fillId="0" borderId="0" xfId="0" applyNumberFormat="1" applyFont="1" applyFill="1" applyBorder="1" applyAlignment="1">
      <alignment/>
    </xf>
    <xf numFmtId="167" fontId="27" fillId="0" borderId="0" xfId="0" applyNumberFormat="1" applyFont="1" applyFill="1" applyAlignment="1">
      <alignment/>
    </xf>
    <xf numFmtId="165" fontId="1" fillId="0" borderId="0" xfId="0" applyNumberFormat="1" applyFont="1" applyFill="1" applyBorder="1" applyAlignment="1">
      <alignment/>
    </xf>
    <xf numFmtId="168" fontId="1" fillId="0" borderId="0" xfId="133" applyNumberFormat="1" applyFont="1" applyBorder="1" applyAlignment="1">
      <alignment/>
    </xf>
    <xf numFmtId="168" fontId="2" fillId="0" borderId="15" xfId="0" applyNumberFormat="1" applyFont="1" applyBorder="1" applyAlignment="1">
      <alignment/>
    </xf>
    <xf numFmtId="168" fontId="2" fillId="0" borderId="0" xfId="133" applyNumberFormat="1" applyFont="1" applyBorder="1" applyAlignment="1">
      <alignment/>
    </xf>
    <xf numFmtId="0" fontId="26" fillId="0" borderId="0" xfId="0" applyFont="1" applyAlignment="1">
      <alignment horizontal="center"/>
    </xf>
    <xf numFmtId="0" fontId="1" fillId="0" borderId="0" xfId="0" applyFont="1" applyBorder="1" applyAlignment="1">
      <alignment horizontal="center"/>
    </xf>
    <xf numFmtId="0" fontId="1" fillId="0" borderId="1" xfId="0" applyFont="1" applyBorder="1" applyAlignment="1">
      <alignment/>
    </xf>
    <xf numFmtId="0" fontId="1" fillId="0" borderId="0" xfId="0" applyFont="1" applyBorder="1" applyAlignment="1">
      <alignment/>
    </xf>
    <xf numFmtId="0" fontId="1" fillId="0" borderId="2" xfId="0" applyFont="1" applyBorder="1" applyAlignment="1">
      <alignment/>
    </xf>
    <xf numFmtId="168" fontId="1" fillId="0" borderId="1" xfId="133" applyNumberFormat="1"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14" fontId="1" fillId="0" borderId="0" xfId="0" applyNumberFormat="1" applyFont="1" applyBorder="1" applyAlignment="1">
      <alignment horizontal="center"/>
    </xf>
    <xf numFmtId="168" fontId="1" fillId="0" borderId="2" xfId="133" applyNumberFormat="1" applyFont="1" applyBorder="1" applyAlignment="1">
      <alignment/>
    </xf>
    <xf numFmtId="168" fontId="1" fillId="0" borderId="2" xfId="0" applyNumberFormat="1" applyFont="1" applyBorder="1" applyAlignment="1">
      <alignment/>
    </xf>
    <xf numFmtId="166" fontId="1" fillId="0" borderId="1" xfId="0" applyNumberFormat="1" applyFont="1" applyFill="1" applyBorder="1" applyAlignment="1">
      <alignment/>
    </xf>
    <xf numFmtId="0" fontId="1" fillId="0" borderId="25"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0" borderId="38" xfId="0" applyFont="1" applyBorder="1" applyAlignment="1">
      <alignment horizontal="center"/>
    </xf>
    <xf numFmtId="0" fontId="1" fillId="0" borderId="13" xfId="0" applyFont="1" applyBorder="1" applyAlignment="1">
      <alignment horizontal="center"/>
    </xf>
    <xf numFmtId="0" fontId="1" fillId="0" borderId="39" xfId="0" applyFont="1" applyBorder="1" applyAlignment="1">
      <alignment horizontal="center"/>
    </xf>
    <xf numFmtId="0" fontId="2" fillId="0" borderId="40" xfId="0" applyFont="1" applyBorder="1" applyAlignment="1">
      <alignment/>
    </xf>
    <xf numFmtId="0" fontId="2" fillId="0" borderId="14" xfId="0" applyFont="1" applyBorder="1" applyAlignment="1">
      <alignment horizontal="center"/>
    </xf>
    <xf numFmtId="0" fontId="2" fillId="0" borderId="41" xfId="0" applyFont="1" applyBorder="1" applyAlignment="1">
      <alignment horizontal="center"/>
    </xf>
    <xf numFmtId="0" fontId="1" fillId="0" borderId="25"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42" xfId="0" applyFont="1" applyBorder="1" applyAlignment="1">
      <alignment/>
    </xf>
    <xf numFmtId="0" fontId="1" fillId="0" borderId="43" xfId="0" applyFont="1" applyBorder="1" applyAlignment="1">
      <alignment/>
    </xf>
    <xf numFmtId="0" fontId="1" fillId="0" borderId="44" xfId="0" applyFont="1" applyBorder="1" applyAlignment="1">
      <alignment/>
    </xf>
    <xf numFmtId="0" fontId="2" fillId="0" borderId="45" xfId="0" applyFont="1" applyBorder="1" applyAlignment="1">
      <alignment/>
    </xf>
    <xf numFmtId="170" fontId="1" fillId="0" borderId="0" xfId="0" applyNumberFormat="1" applyFont="1" applyAlignment="1">
      <alignment/>
    </xf>
    <xf numFmtId="2" fontId="1" fillId="0" borderId="0" xfId="0" applyNumberFormat="1" applyFont="1" applyBorder="1" applyAlignment="1">
      <alignment horizontal="center"/>
    </xf>
    <xf numFmtId="168" fontId="1" fillId="0" borderId="37" xfId="133" applyNumberFormat="1" applyFont="1" applyBorder="1" applyAlignment="1">
      <alignment horizontal="center"/>
    </xf>
    <xf numFmtId="0" fontId="1" fillId="0" borderId="40" xfId="0" applyFont="1" applyBorder="1" applyAlignment="1">
      <alignment horizontal="center"/>
    </xf>
    <xf numFmtId="0" fontId="1" fillId="0" borderId="14" xfId="0" applyFont="1" applyBorder="1" applyAlignment="1">
      <alignment horizontal="center"/>
    </xf>
    <xf numFmtId="0" fontId="1" fillId="0" borderId="41" xfId="0" applyFont="1" applyBorder="1" applyAlignment="1">
      <alignment horizontal="center"/>
    </xf>
    <xf numFmtId="0" fontId="2" fillId="0" borderId="38" xfId="0" applyFont="1" applyBorder="1" applyAlignment="1">
      <alignment horizontal="center"/>
    </xf>
    <xf numFmtId="0" fontId="2" fillId="0" borderId="13" xfId="0" applyFont="1" applyBorder="1" applyAlignment="1">
      <alignment horizontal="center"/>
    </xf>
    <xf numFmtId="0" fontId="2" fillId="0" borderId="39" xfId="0" applyFont="1" applyBorder="1" applyAlignment="1">
      <alignment horizontal="center"/>
    </xf>
    <xf numFmtId="0" fontId="1" fillId="0" borderId="42" xfId="0" applyFont="1" applyFill="1" applyBorder="1" applyAlignment="1">
      <alignment/>
    </xf>
    <xf numFmtId="0" fontId="1" fillId="0" borderId="43" xfId="0" applyFont="1" applyFill="1" applyBorder="1" applyAlignment="1">
      <alignment/>
    </xf>
    <xf numFmtId="0" fontId="1" fillId="0" borderId="44" xfId="0" applyFont="1" applyFill="1" applyBorder="1" applyAlignment="1">
      <alignment/>
    </xf>
    <xf numFmtId="166" fontId="2" fillId="0" borderId="40" xfId="0" applyNumberFormat="1" applyFont="1" applyFill="1" applyBorder="1" applyAlignment="1">
      <alignment/>
    </xf>
    <xf numFmtId="166" fontId="1" fillId="0" borderId="38" xfId="0" applyNumberFormat="1" applyFont="1" applyFill="1" applyBorder="1" applyAlignment="1">
      <alignment/>
    </xf>
    <xf numFmtId="166" fontId="1" fillId="0" borderId="25" xfId="0" applyNumberFormat="1" applyFont="1" applyFill="1" applyBorder="1" applyAlignment="1">
      <alignment/>
    </xf>
    <xf numFmtId="0" fontId="1" fillId="0" borderId="0" xfId="0" applyFont="1" applyAlignment="1">
      <alignment horizontal="right"/>
    </xf>
    <xf numFmtId="0" fontId="2" fillId="0" borderId="0" xfId="0" applyFont="1" applyAlignment="1">
      <alignment horizontal="right"/>
    </xf>
    <xf numFmtId="166" fontId="2" fillId="0" borderId="14" xfId="0" applyNumberFormat="1" applyFont="1" applyFill="1" applyBorder="1" applyAlignment="1">
      <alignment/>
    </xf>
    <xf numFmtId="166" fontId="1" fillId="0" borderId="13" xfId="0" applyNumberFormat="1" applyFont="1" applyFill="1" applyBorder="1" applyAlignment="1">
      <alignment/>
    </xf>
    <xf numFmtId="166" fontId="1" fillId="0" borderId="36" xfId="0" applyNumberFormat="1" applyFont="1" applyFill="1" applyBorder="1" applyAlignment="1">
      <alignment/>
    </xf>
    <xf numFmtId="168" fontId="2" fillId="0" borderId="14" xfId="133" applyNumberFormat="1" applyFont="1" applyBorder="1" applyAlignment="1">
      <alignment/>
    </xf>
    <xf numFmtId="0" fontId="1" fillId="0" borderId="40"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43" xfId="0" applyFont="1" applyBorder="1" applyAlignment="1">
      <alignment/>
    </xf>
    <xf numFmtId="168" fontId="2" fillId="0" borderId="43" xfId="133" applyNumberFormat="1" applyFont="1" applyBorder="1" applyAlignment="1">
      <alignment/>
    </xf>
    <xf numFmtId="168" fontId="1" fillId="0" borderId="44" xfId="133" applyNumberFormat="1" applyFont="1" applyBorder="1" applyAlignment="1">
      <alignment/>
    </xf>
    <xf numFmtId="168" fontId="2" fillId="0" borderId="45" xfId="133" applyNumberFormat="1" applyFont="1" applyBorder="1" applyAlignment="1">
      <alignment/>
    </xf>
    <xf numFmtId="0" fontId="2" fillId="0" borderId="45" xfId="0" applyFont="1" applyBorder="1" applyAlignment="1">
      <alignment horizontal="center" vertical="center" wrapText="1"/>
    </xf>
    <xf numFmtId="168" fontId="2" fillId="0" borderId="40" xfId="133" applyNumberFormat="1" applyFont="1" applyBorder="1" applyAlignment="1">
      <alignment/>
    </xf>
    <xf numFmtId="0" fontId="2" fillId="0" borderId="4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1" xfId="0" applyFont="1" applyBorder="1" applyAlignment="1">
      <alignment horizontal="center" vertical="center" wrapText="1"/>
    </xf>
    <xf numFmtId="0" fontId="1" fillId="0" borderId="13" xfId="0" applyFont="1" applyBorder="1" applyAlignment="1">
      <alignment/>
    </xf>
    <xf numFmtId="168" fontId="1" fillId="0" borderId="13" xfId="133" applyNumberFormat="1" applyFont="1" applyBorder="1" applyAlignment="1">
      <alignment/>
    </xf>
    <xf numFmtId="168" fontId="1" fillId="0" borderId="39" xfId="0" applyNumberFormat="1" applyFont="1" applyBorder="1" applyAlignment="1">
      <alignment/>
    </xf>
    <xf numFmtId="168" fontId="1" fillId="0" borderId="36" xfId="133" applyNumberFormat="1" applyFont="1" applyBorder="1" applyAlignment="1">
      <alignment/>
    </xf>
    <xf numFmtId="168" fontId="1" fillId="0" borderId="37" xfId="0" applyNumberFormat="1" applyFont="1" applyBorder="1" applyAlignment="1">
      <alignment/>
    </xf>
    <xf numFmtId="0" fontId="2" fillId="0" borderId="0" xfId="0" applyFont="1" applyAlignment="1">
      <alignment horizontal="center" vertical="center"/>
    </xf>
    <xf numFmtId="0" fontId="2" fillId="0" borderId="38" xfId="0" applyFont="1" applyBorder="1" applyAlignment="1">
      <alignment horizontal="center" vertical="center" wrapText="1"/>
    </xf>
    <xf numFmtId="168" fontId="1" fillId="0" borderId="25" xfId="133" applyNumberFormat="1" applyFont="1" applyBorder="1" applyAlignment="1">
      <alignment/>
    </xf>
    <xf numFmtId="168" fontId="1" fillId="0" borderId="37" xfId="133" applyNumberFormat="1" applyFont="1" applyBorder="1" applyAlignment="1">
      <alignment/>
    </xf>
    <xf numFmtId="168" fontId="1" fillId="0" borderId="38" xfId="133" applyNumberFormat="1" applyFont="1" applyBorder="1" applyAlignment="1">
      <alignment/>
    </xf>
    <xf numFmtId="168" fontId="1" fillId="0" borderId="42" xfId="0" applyNumberFormat="1" applyFont="1" applyBorder="1" applyAlignment="1">
      <alignment/>
    </xf>
    <xf numFmtId="168" fontId="1" fillId="0" borderId="43" xfId="0" applyNumberFormat="1" applyFont="1" applyBorder="1" applyAlignment="1">
      <alignment/>
    </xf>
    <xf numFmtId="168" fontId="1" fillId="0" borderId="44" xfId="0" applyNumberFormat="1" applyFont="1" applyBorder="1" applyAlignment="1">
      <alignment/>
    </xf>
    <xf numFmtId="0" fontId="2" fillId="0" borderId="42" xfId="0" applyFont="1" applyBorder="1" applyAlignment="1">
      <alignment horizontal="center" vertical="center" wrapText="1"/>
    </xf>
    <xf numFmtId="0" fontId="2" fillId="0" borderId="14" xfId="0" applyFont="1" applyBorder="1" applyAlignment="1">
      <alignment/>
    </xf>
    <xf numFmtId="168" fontId="2" fillId="0" borderId="45" xfId="0" applyNumberFormat="1" applyFont="1" applyBorder="1" applyAlignment="1">
      <alignment/>
    </xf>
    <xf numFmtId="168" fontId="2" fillId="0" borderId="25" xfId="133" applyNumberFormat="1" applyFont="1" applyBorder="1" applyAlignment="1">
      <alignment/>
    </xf>
    <xf numFmtId="168" fontId="2" fillId="0" borderId="36" xfId="133" applyNumberFormat="1" applyFont="1" applyBorder="1" applyAlignment="1">
      <alignment/>
    </xf>
    <xf numFmtId="168" fontId="2" fillId="0" borderId="44" xfId="133" applyNumberFormat="1" applyFont="1" applyBorder="1" applyAlignment="1">
      <alignment/>
    </xf>
    <xf numFmtId="173" fontId="1" fillId="0" borderId="0" xfId="0" applyNumberFormat="1" applyFont="1" applyAlignment="1">
      <alignment horizontal="center"/>
    </xf>
    <xf numFmtId="0" fontId="2" fillId="0" borderId="40" xfId="0" applyFont="1" applyBorder="1" applyAlignment="1">
      <alignment horizontal="center" vertical="center"/>
    </xf>
    <xf numFmtId="168" fontId="1" fillId="0" borderId="40" xfId="0" applyNumberFormat="1" applyFont="1" applyBorder="1" applyAlignment="1">
      <alignment/>
    </xf>
    <xf numFmtId="0" fontId="2" fillId="0" borderId="13" xfId="0" applyFont="1" applyBorder="1" applyAlignment="1">
      <alignment horizontal="center" vertical="center"/>
    </xf>
    <xf numFmtId="0" fontId="2" fillId="0" borderId="39" xfId="0" applyFont="1" applyBorder="1" applyAlignment="1">
      <alignment horizontal="center" vertical="center"/>
    </xf>
    <xf numFmtId="168" fontId="1" fillId="0" borderId="25" xfId="0" applyNumberFormat="1" applyFont="1" applyBorder="1" applyAlignment="1">
      <alignment/>
    </xf>
    <xf numFmtId="168" fontId="1" fillId="0" borderId="36" xfId="0" applyNumberFormat="1" applyFont="1" applyBorder="1" applyAlignment="1">
      <alignment/>
    </xf>
    <xf numFmtId="168" fontId="1" fillId="0" borderId="39" xfId="133" applyNumberFormat="1" applyFont="1" applyBorder="1" applyAlignment="1">
      <alignment/>
    </xf>
    <xf numFmtId="0" fontId="3" fillId="0" borderId="0" xfId="0" applyFont="1" applyAlignment="1">
      <alignment horizontal="left" vertical="center"/>
    </xf>
    <xf numFmtId="168" fontId="1" fillId="0" borderId="38" xfId="0" applyNumberFormat="1" applyFont="1" applyBorder="1" applyAlignment="1">
      <alignment horizontal="center"/>
    </xf>
    <xf numFmtId="168" fontId="1" fillId="0" borderId="0" xfId="0" applyNumberFormat="1" applyFont="1" applyBorder="1" applyAlignment="1">
      <alignment horizontal="center"/>
    </xf>
    <xf numFmtId="168" fontId="1" fillId="0" borderId="13" xfId="0" applyNumberFormat="1" applyFont="1" applyBorder="1" applyAlignment="1">
      <alignment horizontal="center"/>
    </xf>
    <xf numFmtId="168" fontId="1" fillId="0" borderId="39" xfId="0" applyNumberFormat="1" applyFont="1" applyBorder="1" applyAlignment="1">
      <alignment horizontal="center"/>
    </xf>
    <xf numFmtId="168" fontId="1" fillId="0" borderId="1" xfId="0" applyNumberFormat="1" applyFont="1" applyBorder="1" applyAlignment="1">
      <alignment horizontal="center"/>
    </xf>
    <xf numFmtId="168" fontId="1" fillId="0" borderId="2" xfId="0" applyNumberFormat="1" applyFont="1" applyBorder="1" applyAlignment="1">
      <alignment horizontal="center"/>
    </xf>
    <xf numFmtId="168" fontId="1" fillId="0" borderId="25" xfId="0" applyNumberFormat="1" applyFont="1" applyBorder="1" applyAlignment="1">
      <alignment horizontal="center"/>
    </xf>
    <xf numFmtId="168" fontId="1" fillId="0" borderId="36" xfId="0" applyNumberFormat="1" applyFont="1" applyBorder="1" applyAlignment="1">
      <alignment horizontal="center"/>
    </xf>
    <xf numFmtId="168" fontId="1" fillId="0" borderId="37" xfId="0" applyNumberFormat="1" applyFont="1" applyBorder="1" applyAlignment="1">
      <alignment horizontal="center"/>
    </xf>
    <xf numFmtId="168" fontId="1" fillId="0" borderId="25" xfId="133" applyNumberFormat="1" applyFont="1" applyBorder="1" applyAlignment="1">
      <alignment horizontal="center"/>
    </xf>
    <xf numFmtId="168" fontId="1" fillId="0" borderId="36" xfId="133" applyNumberFormat="1" applyFont="1" applyBorder="1" applyAlignment="1">
      <alignment horizontal="center"/>
    </xf>
    <xf numFmtId="0" fontId="2" fillId="0" borderId="0" xfId="0" applyFont="1" applyBorder="1" applyAlignment="1">
      <alignment/>
    </xf>
    <xf numFmtId="0" fontId="2" fillId="0" borderId="42" xfId="0" applyFont="1" applyBorder="1" applyAlignment="1">
      <alignment horizontal="center" vertical="center"/>
    </xf>
    <xf numFmtId="9" fontId="1" fillId="0" borderId="0" xfId="364" applyFont="1" applyAlignment="1">
      <alignment/>
    </xf>
    <xf numFmtId="9" fontId="1" fillId="0" borderId="0" xfId="364" applyFont="1" applyAlignment="1">
      <alignment horizontal="center"/>
    </xf>
    <xf numFmtId="168" fontId="1" fillId="0" borderId="46" xfId="0" applyNumberFormat="1" applyFont="1" applyBorder="1" applyAlignment="1">
      <alignment/>
    </xf>
    <xf numFmtId="168" fontId="2" fillId="0" borderId="38" xfId="133" applyNumberFormat="1" applyFont="1" applyBorder="1" applyAlignment="1">
      <alignment horizontal="center"/>
    </xf>
    <xf numFmtId="168" fontId="2" fillId="0" borderId="13" xfId="133" applyNumberFormat="1" applyFont="1" applyBorder="1" applyAlignment="1">
      <alignment horizontal="center"/>
    </xf>
    <xf numFmtId="168" fontId="2" fillId="0" borderId="39" xfId="133" applyNumberFormat="1"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0" borderId="38" xfId="0" applyFont="1" applyBorder="1" applyAlignment="1">
      <alignment horizontal="center" vertical="center"/>
    </xf>
    <xf numFmtId="173" fontId="1" fillId="0" borderId="38" xfId="0" applyNumberFormat="1" applyFont="1" applyBorder="1" applyAlignment="1">
      <alignment horizontal="center"/>
    </xf>
    <xf numFmtId="173" fontId="1" fillId="0" borderId="13" xfId="0" applyNumberFormat="1" applyFont="1" applyBorder="1" applyAlignment="1">
      <alignment horizontal="center"/>
    </xf>
    <xf numFmtId="173" fontId="1" fillId="0" borderId="39" xfId="0" applyNumberFormat="1" applyFont="1" applyBorder="1" applyAlignment="1">
      <alignment horizontal="center"/>
    </xf>
    <xf numFmtId="14" fontId="1" fillId="0" borderId="0" xfId="0" applyNumberFormat="1" applyFont="1" applyBorder="1" applyAlignment="1">
      <alignment/>
    </xf>
    <xf numFmtId="14" fontId="1" fillId="0" borderId="36" xfId="0" applyNumberFormat="1" applyFont="1" applyBorder="1" applyAlignment="1">
      <alignment/>
    </xf>
    <xf numFmtId="168" fontId="2" fillId="0" borderId="44" xfId="0" applyNumberFormat="1" applyFont="1" applyBorder="1" applyAlignment="1">
      <alignment/>
    </xf>
    <xf numFmtId="170" fontId="1" fillId="0" borderId="38" xfId="0" applyNumberFormat="1" applyFont="1" applyBorder="1" applyAlignment="1">
      <alignment/>
    </xf>
    <xf numFmtId="170" fontId="1" fillId="0" borderId="13" xfId="0" applyNumberFormat="1" applyFont="1" applyBorder="1" applyAlignment="1">
      <alignment/>
    </xf>
    <xf numFmtId="170" fontId="1" fillId="0" borderId="39" xfId="0" applyNumberFormat="1" applyFont="1" applyBorder="1" applyAlignment="1">
      <alignment/>
    </xf>
    <xf numFmtId="170" fontId="1" fillId="0" borderId="1" xfId="0" applyNumberFormat="1" applyFont="1" applyBorder="1" applyAlignment="1">
      <alignment/>
    </xf>
    <xf numFmtId="170" fontId="1" fillId="0" borderId="0" xfId="0" applyNumberFormat="1" applyFont="1" applyBorder="1" applyAlignment="1">
      <alignment/>
    </xf>
    <xf numFmtId="170" fontId="1" fillId="0" borderId="2" xfId="0" applyNumberFormat="1" applyFont="1" applyBorder="1" applyAlignment="1">
      <alignment/>
    </xf>
    <xf numFmtId="170" fontId="1" fillId="0" borderId="40" xfId="0" applyNumberFormat="1" applyFont="1" applyBorder="1" applyAlignment="1">
      <alignment/>
    </xf>
    <xf numFmtId="170" fontId="1" fillId="0" borderId="14" xfId="0" applyNumberFormat="1" applyFont="1" applyBorder="1" applyAlignment="1">
      <alignment/>
    </xf>
    <xf numFmtId="170" fontId="1" fillId="0" borderId="41" xfId="0" applyNumberFormat="1" applyFont="1" applyBorder="1" applyAlignment="1">
      <alignment/>
    </xf>
    <xf numFmtId="14" fontId="1" fillId="0" borderId="13" xfId="0" applyNumberFormat="1" applyFont="1" applyBorder="1" applyAlignment="1">
      <alignment/>
    </xf>
    <xf numFmtId="0" fontId="1" fillId="0" borderId="38" xfId="0" applyFont="1" applyBorder="1" applyAlignment="1">
      <alignment/>
    </xf>
    <xf numFmtId="0" fontId="2" fillId="0" borderId="36" xfId="0" applyFont="1" applyBorder="1" applyAlignment="1">
      <alignment/>
    </xf>
    <xf numFmtId="0" fontId="2" fillId="0" borderId="0" xfId="0" applyFont="1" applyBorder="1" applyAlignment="1">
      <alignment/>
    </xf>
    <xf numFmtId="0" fontId="1" fillId="0" borderId="41" xfId="0" applyFont="1" applyBorder="1" applyAlignment="1">
      <alignment horizontal="center" vertical="center" wrapText="1"/>
    </xf>
    <xf numFmtId="168" fontId="2" fillId="0" borderId="41" xfId="133" applyNumberFormat="1" applyFont="1" applyBorder="1" applyAlignment="1">
      <alignment/>
    </xf>
    <xf numFmtId="168" fontId="1" fillId="0" borderId="42" xfId="133" applyNumberFormat="1" applyFont="1" applyBorder="1" applyAlignment="1">
      <alignment/>
    </xf>
    <xf numFmtId="168" fontId="1" fillId="0" borderId="43" xfId="133" applyNumberFormat="1" applyFont="1" applyBorder="1" applyAlignment="1">
      <alignment/>
    </xf>
    <xf numFmtId="49" fontId="1" fillId="0" borderId="0" xfId="0" applyNumberFormat="1" applyFont="1" applyAlignment="1">
      <alignment vertical="center" wrapText="1"/>
    </xf>
    <xf numFmtId="170" fontId="1" fillId="0" borderId="15" xfId="0" applyNumberFormat="1" applyFont="1" applyBorder="1" applyAlignment="1">
      <alignment/>
    </xf>
    <xf numFmtId="175" fontId="1" fillId="0" borderId="0" xfId="0" applyNumberFormat="1" applyFont="1" applyAlignment="1">
      <alignment horizontal="center"/>
    </xf>
    <xf numFmtId="168" fontId="1" fillId="0" borderId="15" xfId="133" applyNumberFormat="1" applyFont="1" applyBorder="1" applyAlignment="1">
      <alignment/>
    </xf>
    <xf numFmtId="0" fontId="26" fillId="0" borderId="0" xfId="0" applyFont="1" applyAlignment="1">
      <alignment/>
    </xf>
    <xf numFmtId="43" fontId="2" fillId="0" borderId="15" xfId="133" applyNumberFormat="1" applyFont="1" applyBorder="1" applyAlignment="1">
      <alignment/>
    </xf>
    <xf numFmtId="0" fontId="1" fillId="0" borderId="0" xfId="0" applyNumberFormat="1" applyFont="1" applyAlignment="1">
      <alignment/>
    </xf>
    <xf numFmtId="168" fontId="1" fillId="0" borderId="0" xfId="133" applyNumberFormat="1" applyFont="1" applyAlignment="1">
      <alignment horizontal="center"/>
    </xf>
    <xf numFmtId="0" fontId="1" fillId="0" borderId="0" xfId="0" applyFont="1" applyAlignment="1">
      <alignment horizontal="center" vertical="center" wrapText="1"/>
    </xf>
    <xf numFmtId="168" fontId="2" fillId="0" borderId="0" xfId="133" applyNumberFormat="1" applyFont="1" applyAlignment="1">
      <alignment/>
    </xf>
    <xf numFmtId="43" fontId="2" fillId="0" borderId="0" xfId="133" applyFont="1" applyAlignment="1">
      <alignment/>
    </xf>
    <xf numFmtId="0" fontId="1" fillId="0" borderId="0" xfId="0" applyFont="1" applyFill="1" applyBorder="1" applyAlignment="1">
      <alignment/>
    </xf>
    <xf numFmtId="0" fontId="28" fillId="26" borderId="0" xfId="0" applyFont="1" applyFill="1" applyAlignment="1">
      <alignment/>
    </xf>
    <xf numFmtId="0" fontId="28" fillId="17" borderId="38" xfId="0" applyFont="1" applyFill="1" applyBorder="1" applyAlignment="1">
      <alignment/>
    </xf>
    <xf numFmtId="0" fontId="28" fillId="17" borderId="13" xfId="0" applyFont="1" applyFill="1" applyBorder="1" applyAlignment="1">
      <alignment/>
    </xf>
    <xf numFmtId="0" fontId="28" fillId="17" borderId="39" xfId="0" applyFont="1" applyFill="1" applyBorder="1" applyAlignment="1">
      <alignment/>
    </xf>
    <xf numFmtId="0" fontId="28" fillId="17" borderId="1" xfId="0" applyFont="1" applyFill="1" applyBorder="1" applyAlignment="1">
      <alignment/>
    </xf>
    <xf numFmtId="0" fontId="28" fillId="17" borderId="0" xfId="0" applyFont="1" applyFill="1" applyBorder="1" applyAlignment="1">
      <alignment/>
    </xf>
    <xf numFmtId="0" fontId="28" fillId="17" borderId="2" xfId="0" applyFont="1" applyFill="1" applyBorder="1" applyAlignment="1">
      <alignment/>
    </xf>
    <xf numFmtId="0" fontId="28" fillId="17" borderId="25" xfId="0" applyFont="1" applyFill="1" applyBorder="1" applyAlignment="1">
      <alignment/>
    </xf>
    <xf numFmtId="0" fontId="28" fillId="17" borderId="36" xfId="0" applyFont="1" applyFill="1" applyBorder="1" applyAlignment="1">
      <alignment/>
    </xf>
    <xf numFmtId="0" fontId="28" fillId="17" borderId="37" xfId="0" applyFont="1" applyFill="1" applyBorder="1" applyAlignment="1">
      <alignment/>
    </xf>
    <xf numFmtId="0" fontId="28" fillId="26" borderId="0" xfId="0" applyFont="1" applyFill="1" applyAlignment="1" applyProtection="1">
      <alignment/>
      <protection locked="0"/>
    </xf>
    <xf numFmtId="0" fontId="30" fillId="0" borderId="0" xfId="0" applyFont="1" applyAlignment="1">
      <alignment/>
    </xf>
    <xf numFmtId="0" fontId="5" fillId="0" borderId="0" xfId="0" applyFont="1" applyAlignment="1">
      <alignment horizontal="center"/>
    </xf>
    <xf numFmtId="0" fontId="33" fillId="0" borderId="0" xfId="246" applyFont="1" applyAlignment="1" applyProtection="1">
      <alignment horizontal="left"/>
      <protection/>
    </xf>
    <xf numFmtId="0" fontId="33" fillId="0" borderId="0" xfId="246" applyFont="1" applyAlignment="1" applyProtection="1">
      <alignment/>
      <protection/>
    </xf>
    <xf numFmtId="0" fontId="1" fillId="9" borderId="0" xfId="0" applyFont="1" applyFill="1" applyAlignment="1">
      <alignment horizontal="center"/>
    </xf>
    <xf numFmtId="165" fontId="2" fillId="0" borderId="15" xfId="0" applyNumberFormat="1" applyFont="1" applyFill="1" applyBorder="1" applyAlignment="1">
      <alignment/>
    </xf>
    <xf numFmtId="0" fontId="2" fillId="0" borderId="15" xfId="0" applyFont="1" applyBorder="1" applyAlignment="1">
      <alignment horizontal="center"/>
    </xf>
    <xf numFmtId="0" fontId="2" fillId="0" borderId="45" xfId="0" applyFont="1" applyBorder="1" applyAlignment="1">
      <alignment horizontal="center"/>
    </xf>
    <xf numFmtId="0" fontId="33" fillId="0" borderId="0" xfId="246" applyFont="1" applyAlignment="1" applyProtection="1">
      <alignment horizontal="center"/>
      <protection/>
    </xf>
    <xf numFmtId="0" fontId="1" fillId="0" borderId="0" xfId="0" applyFont="1" applyFill="1" applyAlignment="1">
      <alignment horizontal="left" indent="1"/>
    </xf>
    <xf numFmtId="0" fontId="31" fillId="0" borderId="0" xfId="246" applyAlignment="1" applyProtection="1">
      <alignment horizontal="center"/>
      <protection/>
    </xf>
    <xf numFmtId="0" fontId="1" fillId="0" borderId="0" xfId="0" applyFont="1" applyAlignment="1">
      <alignment horizontal="center" vertical="center"/>
    </xf>
    <xf numFmtId="0" fontId="39" fillId="0" borderId="0" xfId="0" applyFont="1" applyAlignment="1">
      <alignment horizontal="left"/>
    </xf>
    <xf numFmtId="0" fontId="40" fillId="0" borderId="0" xfId="0" applyFont="1" applyAlignment="1">
      <alignment/>
    </xf>
    <xf numFmtId="0" fontId="39" fillId="0" borderId="0" xfId="0" applyFont="1" applyAlignment="1">
      <alignment/>
    </xf>
    <xf numFmtId="0" fontId="26" fillId="0" borderId="0" xfId="0" applyFont="1" applyAlignment="1">
      <alignment horizontal="left"/>
    </xf>
    <xf numFmtId="0" fontId="2" fillId="0" borderId="45" xfId="0" applyFont="1" applyBorder="1" applyAlignment="1">
      <alignment horizontal="center" vertical="center"/>
    </xf>
    <xf numFmtId="0" fontId="33" fillId="11" borderId="0" xfId="246" applyFont="1" applyFill="1" applyAlignment="1" applyProtection="1">
      <alignment horizontal="center"/>
      <protection/>
    </xf>
    <xf numFmtId="0" fontId="33" fillId="24" borderId="0" xfId="246" applyFont="1" applyFill="1" applyAlignment="1" applyProtection="1">
      <alignment horizontal="center"/>
      <protection/>
    </xf>
    <xf numFmtId="0" fontId="1" fillId="0" borderId="0" xfId="0" applyNumberFormat="1" applyFont="1" applyAlignment="1">
      <alignment horizontal="left"/>
    </xf>
    <xf numFmtId="0" fontId="1" fillId="9" borderId="0" xfId="0" applyFont="1" applyFill="1" applyAlignment="1" applyProtection="1">
      <alignment/>
      <protection locked="0"/>
    </xf>
    <xf numFmtId="0" fontId="5" fillId="0" borderId="0" xfId="0" applyFont="1" applyFill="1" applyAlignment="1">
      <alignment horizontal="left" indent="1"/>
    </xf>
    <xf numFmtId="0" fontId="28" fillId="0" borderId="38" xfId="333" applyFont="1" applyBorder="1">
      <alignment/>
      <protection/>
    </xf>
    <xf numFmtId="0" fontId="1" fillId="0" borderId="39" xfId="0" applyFont="1" applyBorder="1" applyAlignment="1">
      <alignment/>
    </xf>
    <xf numFmtId="0" fontId="28" fillId="0" borderId="1" xfId="333" applyFont="1" applyBorder="1">
      <alignment/>
      <protection/>
    </xf>
    <xf numFmtId="0" fontId="28" fillId="0" borderId="25" xfId="333" applyFont="1" applyBorder="1">
      <alignment/>
      <protection/>
    </xf>
    <xf numFmtId="0" fontId="1" fillId="9" borderId="0" xfId="0" applyFont="1" applyFill="1" applyAlignment="1" applyProtection="1">
      <alignment horizontal="left" indent="1"/>
      <protection locked="0"/>
    </xf>
    <xf numFmtId="0" fontId="5" fillId="9" borderId="0" xfId="0" applyFont="1" applyFill="1" applyAlignment="1" applyProtection="1">
      <alignment horizontal="left" indent="1"/>
      <protection locked="0"/>
    </xf>
    <xf numFmtId="14" fontId="1" fillId="9" borderId="0" xfId="0" applyNumberFormat="1" applyFont="1" applyFill="1" applyAlignment="1" applyProtection="1">
      <alignment/>
      <protection locked="0"/>
    </xf>
    <xf numFmtId="168" fontId="1" fillId="9" borderId="0" xfId="133" applyNumberFormat="1" applyFont="1" applyFill="1" applyAlignment="1" applyProtection="1">
      <alignment/>
      <protection locked="0"/>
    </xf>
    <xf numFmtId="10" fontId="1" fillId="9" borderId="0" xfId="0" applyNumberFormat="1" applyFont="1" applyFill="1" applyAlignment="1" applyProtection="1">
      <alignment/>
      <protection locked="0"/>
    </xf>
    <xf numFmtId="10" fontId="1" fillId="9" borderId="0" xfId="364" applyNumberFormat="1" applyFont="1" applyFill="1" applyAlignment="1" applyProtection="1">
      <alignment/>
      <protection locked="0"/>
    </xf>
    <xf numFmtId="0" fontId="1" fillId="6" borderId="0" xfId="0" applyFont="1" applyFill="1" applyAlignment="1" applyProtection="1">
      <alignment horizontal="center"/>
      <protection locked="0"/>
    </xf>
    <xf numFmtId="2" fontId="1" fillId="9" borderId="0" xfId="0" applyNumberFormat="1" applyFont="1" applyFill="1" applyAlignment="1" applyProtection="1">
      <alignment horizontal="center"/>
      <protection locked="0"/>
    </xf>
    <xf numFmtId="9" fontId="1" fillId="9" borderId="0" xfId="364" applyFont="1" applyFill="1" applyAlignment="1" applyProtection="1">
      <alignment/>
      <protection locked="0"/>
    </xf>
    <xf numFmtId="2" fontId="1" fillId="0" borderId="0" xfId="0" applyNumberFormat="1" applyFont="1" applyAlignment="1">
      <alignment horizontal="center"/>
    </xf>
    <xf numFmtId="3" fontId="1" fillId="9" borderId="0" xfId="0" applyNumberFormat="1" applyFont="1" applyFill="1" applyAlignment="1" applyProtection="1">
      <alignment/>
      <protection locked="0"/>
    </xf>
    <xf numFmtId="168" fontId="1" fillId="9" borderId="0" xfId="133" applyNumberFormat="1" applyFont="1" applyFill="1" applyAlignment="1">
      <alignment/>
    </xf>
    <xf numFmtId="10" fontId="1" fillId="0" borderId="0" xfId="0" applyNumberFormat="1" applyFont="1" applyFill="1" applyAlignment="1">
      <alignment/>
    </xf>
    <xf numFmtId="167" fontId="1" fillId="0" borderId="0" xfId="0" applyNumberFormat="1" applyFont="1" applyFill="1" applyAlignment="1">
      <alignment/>
    </xf>
    <xf numFmtId="168" fontId="1" fillId="0" borderId="0" xfId="133" applyNumberFormat="1" applyFont="1" applyFill="1" applyAlignment="1" applyProtection="1">
      <alignment/>
      <protection locked="0"/>
    </xf>
    <xf numFmtId="3" fontId="1" fillId="0" borderId="0" xfId="0" applyNumberFormat="1" applyFont="1" applyAlignment="1">
      <alignment horizontal="center"/>
    </xf>
    <xf numFmtId="0" fontId="29" fillId="0" borderId="4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0" xfId="0" applyFont="1" applyBorder="1" applyAlignment="1">
      <alignment horizontal="center"/>
    </xf>
    <xf numFmtId="0" fontId="29" fillId="0" borderId="14" xfId="0" applyFont="1" applyBorder="1" applyAlignment="1">
      <alignment horizontal="center"/>
    </xf>
    <xf numFmtId="0" fontId="29" fillId="0" borderId="41" xfId="0" applyFont="1" applyBorder="1" applyAlignment="1">
      <alignment horizontal="center"/>
    </xf>
    <xf numFmtId="0" fontId="2" fillId="0" borderId="40" xfId="0" applyFont="1" applyBorder="1" applyAlignment="1">
      <alignment horizontal="center"/>
    </xf>
    <xf numFmtId="0" fontId="2" fillId="0" borderId="14" xfId="0" applyFont="1" applyBorder="1" applyAlignment="1">
      <alignment horizontal="center"/>
    </xf>
    <xf numFmtId="0" fontId="2" fillId="0" borderId="41" xfId="0" applyFont="1" applyBorder="1" applyAlignment="1">
      <alignment horizontal="center"/>
    </xf>
    <xf numFmtId="14" fontId="2" fillId="0" borderId="40" xfId="0" applyNumberFormat="1" applyFont="1" applyBorder="1" applyAlignment="1">
      <alignment horizontal="center"/>
    </xf>
    <xf numFmtId="14" fontId="2" fillId="0" borderId="41" xfId="0" applyNumberFormat="1" applyFont="1" applyBorder="1" applyAlignment="1">
      <alignment horizontal="center"/>
    </xf>
    <xf numFmtId="0" fontId="2" fillId="0" borderId="40" xfId="0" applyFont="1" applyBorder="1" applyAlignment="1">
      <alignment horizontal="center" vertical="top"/>
    </xf>
    <xf numFmtId="0" fontId="2" fillId="0" borderId="14" xfId="0" applyFont="1" applyBorder="1" applyAlignment="1">
      <alignment horizontal="center" vertical="top"/>
    </xf>
    <xf numFmtId="0" fontId="2" fillId="0" borderId="38" xfId="0" applyFont="1" applyBorder="1" applyAlignment="1">
      <alignment horizontal="center"/>
    </xf>
    <xf numFmtId="0" fontId="2" fillId="0" borderId="13" xfId="0" applyFont="1" applyBorder="1" applyAlignment="1">
      <alignment horizontal="center"/>
    </xf>
    <xf numFmtId="0" fontId="2" fillId="0" borderId="4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center"/>
    </xf>
  </cellXfs>
  <cellStyles count="493">
    <cellStyle name="Normal" xfId="0"/>
    <cellStyle name=" " xfId="15"/>
    <cellStyle name="$" xfId="16"/>
    <cellStyle name="$ k" xfId="17"/>
    <cellStyle name="$ M" xfId="18"/>
    <cellStyle name="$pa" xfId="19"/>
    <cellStyle name="$pm" xfId="20"/>
    <cellStyle name="$pw" xfId="21"/>
    <cellStyle name="%/a" xfId="22"/>
    <cellStyle name="??" xfId="23"/>
    <cellStyle name="?? [0.00]_PERSONAL" xfId="24"/>
    <cellStyle name="???? [0.00]_PERSONAL" xfId="25"/>
    <cellStyle name="????_PERSONAL" xfId="26"/>
    <cellStyle name="??_PERSONAL" xfId="27"/>
    <cellStyle name="_Proforma SP" xfId="28"/>
    <cellStyle name="_Rough_v7" xfId="29"/>
    <cellStyle name="0%" xfId="30"/>
    <cellStyle name="0.0%" xfId="31"/>
    <cellStyle name="0.00%" xfId="32"/>
    <cellStyle name="0000"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A-ArrayN" xfId="52"/>
    <cellStyle name="AA-Heading" xfId="53"/>
    <cellStyle name="AA-Heading 2" xfId="54"/>
    <cellStyle name="AA-Heading 3" xfId="55"/>
    <cellStyle name="AA-Input" xfId="56"/>
    <cellStyle name="AA-Input-Scenario" xfId="57"/>
    <cellStyle name="AA-Input-Soft" xfId="58"/>
    <cellStyle name="AA-SigOutput" xfId="59"/>
    <cellStyle name="Accent1" xfId="60"/>
    <cellStyle name="Accent2" xfId="61"/>
    <cellStyle name="Accent3" xfId="62"/>
    <cellStyle name="Accent4" xfId="63"/>
    <cellStyle name="Accent5" xfId="64"/>
    <cellStyle name="Accent6" xfId="65"/>
    <cellStyle name="Account Heading" xfId="66"/>
    <cellStyle name="Adjustable" xfId="67"/>
    <cellStyle name="AFE" xfId="68"/>
    <cellStyle name="AS Input Middle Currency" xfId="69"/>
    <cellStyle name="AS Input Middle Date" xfId="70"/>
    <cellStyle name="AS Input Middle Multiple" xfId="71"/>
    <cellStyle name="AS Input Middle Number" xfId="72"/>
    <cellStyle name="AS Input Middle Percentage" xfId="73"/>
    <cellStyle name="AS Input Middle Title / Name" xfId="74"/>
    <cellStyle name="AS Input Middle Year" xfId="75"/>
    <cellStyle name="Assumptions Center Currency" xfId="76"/>
    <cellStyle name="Assumptions Center Date" xfId="77"/>
    <cellStyle name="Assumptions Center Multiple" xfId="78"/>
    <cellStyle name="Assumptions Center Number" xfId="79"/>
    <cellStyle name="Assumptions Center Percentage" xfId="80"/>
    <cellStyle name="Assumptions Center Year" xfId="81"/>
    <cellStyle name="Assumptions Forecast Currency" xfId="82"/>
    <cellStyle name="Assumptions Forecast Date" xfId="83"/>
    <cellStyle name="Assumptions Forecast Multiple" xfId="84"/>
    <cellStyle name="Assumptions Forecast Number" xfId="85"/>
    <cellStyle name="Assumptions Forecast Percentage" xfId="86"/>
    <cellStyle name="Assumptions Forecast Title / Name" xfId="87"/>
    <cellStyle name="Assumptions Forecast Year" xfId="88"/>
    <cellStyle name="Assumptions Heading" xfId="89"/>
    <cellStyle name="Assumptions Middle Currency" xfId="90"/>
    <cellStyle name="Assumptions Middle Date" xfId="91"/>
    <cellStyle name="Assumptions Middle Multiple" xfId="92"/>
    <cellStyle name="Assumptions Middle Number" xfId="93"/>
    <cellStyle name="Assumptions Middle Percentage" xfId="94"/>
    <cellStyle name="Assumptions Middle Title / Name" xfId="95"/>
    <cellStyle name="Assumptions Middle Year" xfId="96"/>
    <cellStyle name="Assumptions Right Currency" xfId="97"/>
    <cellStyle name="Assumptions Right Date" xfId="98"/>
    <cellStyle name="Assumptions Right Multiple" xfId="99"/>
    <cellStyle name="Assumptions Right Number" xfId="100"/>
    <cellStyle name="Assumptions Right Percentage" xfId="101"/>
    <cellStyle name="Assumptions Right Year" xfId="102"/>
    <cellStyle name="AUD" xfId="103"/>
    <cellStyle name="AUD/d" xfId="104"/>
    <cellStyle name="AUD/m" xfId="105"/>
    <cellStyle name="AUD/m2" xfId="106"/>
    <cellStyle name="AUD/m3" xfId="107"/>
    <cellStyle name="AUD/mth" xfId="108"/>
    <cellStyle name="AUDm" xfId="109"/>
    <cellStyle name="AUDpm" xfId="110"/>
    <cellStyle name="AXAPTA_FieldName" xfId="111"/>
    <cellStyle name="Bad" xfId="112"/>
    <cellStyle name="brakcomma" xfId="113"/>
    <cellStyle name="Calc Currency (0)" xfId="114"/>
    <cellStyle name="Calc Currency (2)" xfId="115"/>
    <cellStyle name="Calc Percent (0)" xfId="116"/>
    <cellStyle name="Calc Percent (1)" xfId="117"/>
    <cellStyle name="Calc Percent (2)" xfId="118"/>
    <cellStyle name="Calc Units (0)" xfId="119"/>
    <cellStyle name="Calc Units (1)" xfId="120"/>
    <cellStyle name="Calc Units (2)" xfId="121"/>
    <cellStyle name="Calculation" xfId="122"/>
    <cellStyle name="Cell Link" xfId="123"/>
    <cellStyle name="Center Currency" xfId="124"/>
    <cellStyle name="Center Date" xfId="125"/>
    <cellStyle name="Center Multiple" xfId="126"/>
    <cellStyle name="Center Number" xfId="127"/>
    <cellStyle name="Center Percentage" xfId="128"/>
    <cellStyle name="Center Year" xfId="129"/>
    <cellStyle name="Check Cell" xfId="130"/>
    <cellStyle name="Col head light" xfId="131"/>
    <cellStyle name="colorcomma" xfId="132"/>
    <cellStyle name="Comma" xfId="133"/>
    <cellStyle name="Comma [0]" xfId="134"/>
    <cellStyle name="Comma [00]" xfId="135"/>
    <cellStyle name="Comma [2]" xfId="136"/>
    <cellStyle name="Comma 2" xfId="137"/>
    <cellStyle name="Comma 3" xfId="138"/>
    <cellStyle name="Comma 4" xfId="139"/>
    <cellStyle name="Comma 5" xfId="140"/>
    <cellStyle name="Comma0 - Modelo1" xfId="141"/>
    <cellStyle name="Comma0 - Style1" xfId="142"/>
    <cellStyle name="Comma1 - Modelo2" xfId="143"/>
    <cellStyle name="Comma1 - Style2" xfId="144"/>
    <cellStyle name="Comment" xfId="145"/>
    <cellStyle name="Company Name" xfId="146"/>
    <cellStyle name="ContentsHyperlink" xfId="147"/>
    <cellStyle name="Cover Link Note" xfId="148"/>
    <cellStyle name="cpa" xfId="149"/>
    <cellStyle name="cps" xfId="150"/>
    <cellStyle name="Currency" xfId="151"/>
    <cellStyle name="Currency [0]" xfId="152"/>
    <cellStyle name="Currency [00]" xfId="153"/>
    <cellStyle name="Currency [2]" xfId="154"/>
    <cellStyle name="Currency 2" xfId="155"/>
    <cellStyle name="Currency 3" xfId="156"/>
    <cellStyle name="Currency 4" xfId="157"/>
    <cellStyle name="Currency 8" xfId="158"/>
    <cellStyle name="dae" xfId="159"/>
    <cellStyle name="Data" xfId="160"/>
    <cellStyle name="Data Input" xfId="161"/>
    <cellStyle name="Data Section Heading" xfId="162"/>
    <cellStyle name="DATA_Amount" xfId="163"/>
    <cellStyle name="DATE" xfId="164"/>
    <cellStyle name="Date [1 Dec 01]" xfId="165"/>
    <cellStyle name="Date [31/12/02]" xfId="166"/>
    <cellStyle name="Date [Dec 00]" xfId="167"/>
    <cellStyle name="Date Short" xfId="168"/>
    <cellStyle name="Date, Long" xfId="169"/>
    <cellStyle name="Date, Short" xfId="170"/>
    <cellStyle name="Date_Copy of Forecast_for_Board_Apr07 Actuals 060507  SP Presentation" xfId="171"/>
    <cellStyle name="dateformat" xfId="172"/>
    <cellStyle name="DateMonth" xfId="173"/>
    <cellStyle name="Datum" xfId="174"/>
    <cellStyle name="Days" xfId="175"/>
    <cellStyle name="dd-mmm-yy" xfId="176"/>
    <cellStyle name="Dean's number format" xfId="177"/>
    <cellStyle name="Decimal [0]" xfId="178"/>
    <cellStyle name="Decimal [2]" xfId="179"/>
    <cellStyle name="Decimal [3]" xfId="180"/>
    <cellStyle name="Decimal [4]" xfId="181"/>
    <cellStyle name="Delete" xfId="182"/>
    <cellStyle name="DELTA" xfId="183"/>
    <cellStyle name="Dia" xfId="184"/>
    <cellStyle name="Dollars" xfId="185"/>
    <cellStyle name="Dollars K" xfId="186"/>
    <cellStyle name="Dollars M" xfId="187"/>
    <cellStyle name="Dollars_M" xfId="188"/>
    <cellStyle name="Encabez1" xfId="189"/>
    <cellStyle name="Encabez2" xfId="190"/>
    <cellStyle name="Enter Currency (0)" xfId="191"/>
    <cellStyle name="Enter Currency (2)" xfId="192"/>
    <cellStyle name="Enter Units (0)" xfId="193"/>
    <cellStyle name="Enter Units (1)" xfId="194"/>
    <cellStyle name="Enter Units (2)" xfId="195"/>
    <cellStyle name="Error" xfId="196"/>
    <cellStyle name="Euro" xfId="197"/>
    <cellStyle name="Explanatory Text" xfId="198"/>
    <cellStyle name="EY House" xfId="199"/>
    <cellStyle name="F2" xfId="200"/>
    <cellStyle name="F3" xfId="201"/>
    <cellStyle name="F4" xfId="202"/>
    <cellStyle name="F5" xfId="203"/>
    <cellStyle name="F6" xfId="204"/>
    <cellStyle name="F7" xfId="205"/>
    <cellStyle name="F8" xfId="206"/>
    <cellStyle name="FAS Input Currency" xfId="207"/>
    <cellStyle name="FAS Input Date" xfId="208"/>
    <cellStyle name="FAS Input Multiple" xfId="209"/>
    <cellStyle name="FAS Input Number" xfId="210"/>
    <cellStyle name="FAS Input Percentage" xfId="211"/>
    <cellStyle name="FAS Input Title / Name" xfId="212"/>
    <cellStyle name="FAS Input Year" xfId="213"/>
    <cellStyle name="Fe" xfId="214"/>
    <cellStyle name="Fijo" xfId="215"/>
    <cellStyle name="Financiero" xfId="216"/>
    <cellStyle name="Fixed" xfId="217"/>
    <cellStyle name="Followed Hyperlink" xfId="218"/>
    <cellStyle name="Footnote" xfId="219"/>
    <cellStyle name="Forecast Currency" xfId="220"/>
    <cellStyle name="Forecast Date" xfId="221"/>
    <cellStyle name="Forecast Multiple" xfId="222"/>
    <cellStyle name="Forecast Number" xfId="223"/>
    <cellStyle name="Forecast Percentage" xfId="224"/>
    <cellStyle name="Forecast Period Title" xfId="225"/>
    <cellStyle name="Forecast Year" xfId="226"/>
    <cellStyle name="Formula" xfId="227"/>
    <cellStyle name="Formulas" xfId="228"/>
    <cellStyle name="Full Year" xfId="229"/>
    <cellStyle name="g data" xfId="230"/>
    <cellStyle name="g fixed" xfId="231"/>
    <cellStyle name="Good" xfId="232"/>
    <cellStyle name="Header1" xfId="233"/>
    <cellStyle name="Header2" xfId="234"/>
    <cellStyle name="Heading" xfId="235"/>
    <cellStyle name="Heading 1" xfId="236"/>
    <cellStyle name="Heading 2" xfId="237"/>
    <cellStyle name="Heading 3" xfId="238"/>
    <cellStyle name="Heading 4" xfId="239"/>
    <cellStyle name="Heading1" xfId="240"/>
    <cellStyle name="Heading2" xfId="241"/>
    <cellStyle name="Heading3" xfId="242"/>
    <cellStyle name="Heading4" xfId="243"/>
    <cellStyle name="Hidden" xfId="244"/>
    <cellStyle name="hours" xfId="245"/>
    <cellStyle name="Hyperlink" xfId="246"/>
    <cellStyle name="Hyperlink Arrow" xfId="247"/>
    <cellStyle name="Hyperlink Check" xfId="248"/>
    <cellStyle name="Hyperlink Text" xfId="249"/>
    <cellStyle name="Index" xfId="250"/>
    <cellStyle name="Input" xfId="251"/>
    <cellStyle name="Input Company Name" xfId="252"/>
    <cellStyle name="Input Forecast Currency" xfId="253"/>
    <cellStyle name="Input Forecast Date" xfId="254"/>
    <cellStyle name="Input Forecast Multiple" xfId="255"/>
    <cellStyle name="Input Forecast Number" xfId="256"/>
    <cellStyle name="Input Forecast Percentage" xfId="257"/>
    <cellStyle name="Input Forecast Year" xfId="258"/>
    <cellStyle name="Input Heading 1" xfId="259"/>
    <cellStyle name="Input Heading 2" xfId="260"/>
    <cellStyle name="Input Heading 3" xfId="261"/>
    <cellStyle name="Input Heading 4" xfId="262"/>
    <cellStyle name="Input Middle Currency" xfId="263"/>
    <cellStyle name="Input Middle Date" xfId="264"/>
    <cellStyle name="Input Middle Multiple" xfId="265"/>
    <cellStyle name="Input Middle Number" xfId="266"/>
    <cellStyle name="Input Middle Percentage" xfId="267"/>
    <cellStyle name="Input Middle Title / Name" xfId="268"/>
    <cellStyle name="Input Middle Year" xfId="269"/>
    <cellStyle name="Input Sheet Title" xfId="270"/>
    <cellStyle name="Italic" xfId="271"/>
    <cellStyle name="kg" xfId="272"/>
    <cellStyle name="KPMG Heading 1" xfId="273"/>
    <cellStyle name="KPMG Heading 2" xfId="274"/>
    <cellStyle name="KPMG Heading 3" xfId="275"/>
    <cellStyle name="KPMG Heading 4" xfId="276"/>
    <cellStyle name="KPMG Normal" xfId="277"/>
    <cellStyle name="KPMG Normal Text" xfId="278"/>
    <cellStyle name="Label" xfId="279"/>
    <cellStyle name="Lengte (m)" xfId="280"/>
    <cellStyle name="Lengte (mm)" xfId="281"/>
    <cellStyle name="Link Currency (0)" xfId="282"/>
    <cellStyle name="Link Currency (2)" xfId="283"/>
    <cellStyle name="Link from Sheet" xfId="284"/>
    <cellStyle name="Link from Wkbk" xfId="285"/>
    <cellStyle name="Link Units (0)" xfId="286"/>
    <cellStyle name="Link Units (1)" xfId="287"/>
    <cellStyle name="Link Units (2)" xfId="288"/>
    <cellStyle name="Linked Cell" xfId="289"/>
    <cellStyle name="liter" xfId="290"/>
    <cellStyle name="Lookup Table Heading" xfId="291"/>
    <cellStyle name="Lookup Table Label" xfId="292"/>
    <cellStyle name="Lookup Table Number" xfId="293"/>
    <cellStyle name="LS Input Lookup Label" xfId="294"/>
    <cellStyle name="LS Input Table Heading" xfId="295"/>
    <cellStyle name="LS Input Table No. 1" xfId="296"/>
    <cellStyle name="LS Output Table No. 2+" xfId="297"/>
    <cellStyle name="m" xfId="298"/>
    <cellStyle name="m2" xfId="299"/>
    <cellStyle name="m3" xfId="300"/>
    <cellStyle name="MainHeading" xfId="301"/>
    <cellStyle name="Massa (kg)" xfId="302"/>
    <cellStyle name="max" xfId="303"/>
    <cellStyle name="MB.SuppData" xfId="304"/>
    <cellStyle name="Middle Currency" xfId="305"/>
    <cellStyle name="Middle Date" xfId="306"/>
    <cellStyle name="Middle Multiple" xfId="307"/>
    <cellStyle name="Middle Number" xfId="308"/>
    <cellStyle name="Middle Percentage" xfId="309"/>
    <cellStyle name="Middle Title / Name" xfId="310"/>
    <cellStyle name="Middle Year" xfId="311"/>
    <cellStyle name="Millares [0]_10 AVERIAS MASIVAS + ANT" xfId="312"/>
    <cellStyle name="min" xfId="313"/>
    <cellStyle name="mm" xfId="314"/>
    <cellStyle name="mmm yy" xfId="315"/>
    <cellStyle name="Model Name" xfId="316"/>
    <cellStyle name="Month" xfId="317"/>
    <cellStyle name="monthformat" xfId="318"/>
    <cellStyle name="Months" xfId="319"/>
    <cellStyle name="MPHeading" xfId="320"/>
    <cellStyle name="Mt" xfId="321"/>
    <cellStyle name="Mtpa" xfId="322"/>
    <cellStyle name="MW" xfId="323"/>
    <cellStyle name="MWth" xfId="324"/>
    <cellStyle name="Neutral" xfId="325"/>
    <cellStyle name="New Times Roman" xfId="326"/>
    <cellStyle name="Normal - Style1" xfId="327"/>
    <cellStyle name="Normal 109" xfId="328"/>
    <cellStyle name="Normal 2" xfId="329"/>
    <cellStyle name="Normal 3" xfId="330"/>
    <cellStyle name="Normal 4" xfId="331"/>
    <cellStyle name="Normal 7" xfId="332"/>
    <cellStyle name="Normal_Assumptions" xfId="333"/>
    <cellStyle name="Not Applicable" xfId="334"/>
    <cellStyle name="Note" xfId="335"/>
    <cellStyle name="Numbers Bold (0)" xfId="336"/>
    <cellStyle name="Numeric point input" xfId="337"/>
    <cellStyle name="OLELink" xfId="338"/>
    <cellStyle name="OperisBase" xfId="339"/>
    <cellStyle name="Output" xfId="340"/>
    <cellStyle name="OUTPUT AMOUNTS" xfId="341"/>
    <cellStyle name="Output Company Name" xfId="342"/>
    <cellStyle name="Output Forecast Currency" xfId="343"/>
    <cellStyle name="Output Forecast Date" xfId="344"/>
    <cellStyle name="Output Forecast Multiple" xfId="345"/>
    <cellStyle name="Output Forecast Number" xfId="346"/>
    <cellStyle name="Output Forecast Percentage" xfId="347"/>
    <cellStyle name="Output Forecast Period Title" xfId="348"/>
    <cellStyle name="Output Forecast Year" xfId="349"/>
    <cellStyle name="Output Heading 1" xfId="350"/>
    <cellStyle name="Output Heading 2" xfId="351"/>
    <cellStyle name="Output Heading 3" xfId="352"/>
    <cellStyle name="Output Heading 4" xfId="353"/>
    <cellStyle name="OUTPUT LINE ITEMS" xfId="354"/>
    <cellStyle name="Output Middle Currency" xfId="355"/>
    <cellStyle name="Output Middle Date" xfId="356"/>
    <cellStyle name="Output Middle Multiple" xfId="357"/>
    <cellStyle name="Output Middle Number" xfId="358"/>
    <cellStyle name="Output Middle Percentage" xfId="359"/>
    <cellStyle name="Output Middle Title / Name" xfId="360"/>
    <cellStyle name="Output Middle Year" xfId="361"/>
    <cellStyle name="Output Sheet Title" xfId="362"/>
    <cellStyle name="Pcent" xfId="363"/>
    <cellStyle name="Percent" xfId="364"/>
    <cellStyle name="Percent [0]" xfId="365"/>
    <cellStyle name="Percent [1]" xfId="366"/>
    <cellStyle name="Percent [2]" xfId="367"/>
    <cellStyle name="Percent 2" xfId="368"/>
    <cellStyle name="Percent 3" xfId="369"/>
    <cellStyle name="Percentages" xfId="370"/>
    <cellStyle name="percnt" xfId="371"/>
    <cellStyle name="Period Title" xfId="372"/>
    <cellStyle name="periodformat" xfId="373"/>
    <cellStyle name="phasing" xfId="374"/>
    <cellStyle name="point variable" xfId="375"/>
    <cellStyle name="Presentation Currency" xfId="376"/>
    <cellStyle name="Presentation Date" xfId="377"/>
    <cellStyle name="Presentation Heading 1" xfId="378"/>
    <cellStyle name="Presentation Heading 2" xfId="379"/>
    <cellStyle name="Presentation Heading 3" xfId="380"/>
    <cellStyle name="Presentation Heading 4" xfId="381"/>
    <cellStyle name="Presentation Hyperlink Arrow" xfId="382"/>
    <cellStyle name="Presentation Hyperlink Check" xfId="383"/>
    <cellStyle name="Presentation Hyperlink Text" xfId="384"/>
    <cellStyle name="Presentation Model Name" xfId="385"/>
    <cellStyle name="Presentation Multiple" xfId="386"/>
    <cellStyle name="Presentation Normal" xfId="387"/>
    <cellStyle name="Presentation Number" xfId="388"/>
    <cellStyle name="Presentation Percentage" xfId="389"/>
    <cellStyle name="Presentation Period Title" xfId="390"/>
    <cellStyle name="Presentation Section Number" xfId="391"/>
    <cellStyle name="Presentation Sheet Title" xfId="392"/>
    <cellStyle name="Presentation Year" xfId="393"/>
    <cellStyle name="ProdYear" xfId="394"/>
    <cellStyle name="ProjYear" xfId="395"/>
    <cellStyle name="quarterformat" xfId="396"/>
    <cellStyle name="quinformat" xfId="397"/>
    <cellStyle name="Ratio" xfId="398"/>
    <cellStyle name="Right Currency" xfId="399"/>
    <cellStyle name="Right Date" xfId="400"/>
    <cellStyle name="Right Multiple" xfId="401"/>
    <cellStyle name="Right Number" xfId="402"/>
    <cellStyle name="Right Percentage" xfId="403"/>
    <cellStyle name="Right Year" xfId="404"/>
    <cellStyle name="Rpm" xfId="405"/>
    <cellStyle name="Rpt" xfId="406"/>
    <cellStyle name="RpUSD" xfId="407"/>
    <cellStyle name="SAPBEXaggData" xfId="408"/>
    <cellStyle name="SAPBEXaggDataEmph" xfId="409"/>
    <cellStyle name="SAPBEXaggItem" xfId="410"/>
    <cellStyle name="SAPBEXchaText" xfId="411"/>
    <cellStyle name="SAPBEXexcBad7" xfId="412"/>
    <cellStyle name="SAPBEXexcBad8" xfId="413"/>
    <cellStyle name="SAPBEXexcBad9" xfId="414"/>
    <cellStyle name="SAPBEXexcCritical4" xfId="415"/>
    <cellStyle name="SAPBEXexcCritical5" xfId="416"/>
    <cellStyle name="SAPBEXexcCritical6" xfId="417"/>
    <cellStyle name="SAPBEXexcGood1" xfId="418"/>
    <cellStyle name="SAPBEXexcGood2" xfId="419"/>
    <cellStyle name="SAPBEXexcGood3" xfId="420"/>
    <cellStyle name="SAPBEXfilterDrill" xfId="421"/>
    <cellStyle name="SAPBEXfilterItem" xfId="422"/>
    <cellStyle name="SAPBEXfilterText" xfId="423"/>
    <cellStyle name="SAPBEXformats" xfId="424"/>
    <cellStyle name="SAPBEXheaderItem" xfId="425"/>
    <cellStyle name="SAPBEXheaderText" xfId="426"/>
    <cellStyle name="SAPBEXresData" xfId="427"/>
    <cellStyle name="SAPBEXresDataEmph" xfId="428"/>
    <cellStyle name="SAPBEXresItem" xfId="429"/>
    <cellStyle name="SAPBEXstdData" xfId="430"/>
    <cellStyle name="SAPBEXstdDataEmph" xfId="431"/>
    <cellStyle name="SAPBEXstdItem" xfId="432"/>
    <cellStyle name="SAPBEXtitle" xfId="433"/>
    <cellStyle name="SAPBEXundefined" xfId="434"/>
    <cellStyle name="SAPOutput" xfId="435"/>
    <cellStyle name="SDEntry" xfId="436"/>
    <cellStyle name="Section Heading" xfId="437"/>
    <cellStyle name="Section Number" xfId="438"/>
    <cellStyle name="Section Title no wrap" xfId="439"/>
    <cellStyle name="Section Title wrap" xfId="440"/>
    <cellStyle name="sheet background" xfId="441"/>
    <cellStyle name="Sheet Title" xfId="442"/>
    <cellStyle name="SR" xfId="443"/>
    <cellStyle name="STANDARD" xfId="444"/>
    <cellStyle name="Std_%" xfId="445"/>
    <cellStyle name="String point input" xfId="446"/>
    <cellStyle name="Style 1" xfId="447"/>
    <cellStyle name="style1" xfId="448"/>
    <cellStyle name="STYLE1 - Style1" xfId="449"/>
    <cellStyle name="STYLE2 - Style2" xfId="450"/>
    <cellStyle name="STYLE3 - Style3" xfId="451"/>
    <cellStyle name="STYLE4 - Style4" xfId="452"/>
    <cellStyle name="SubHeading1" xfId="453"/>
    <cellStyle name="SubHeading2" xfId="454"/>
    <cellStyle name="Subsection Heading" xfId="455"/>
    <cellStyle name="Sub-section heading" xfId="456"/>
    <cellStyle name="subtitle" xfId="457"/>
    <cellStyle name="SubTotal" xfId="458"/>
    <cellStyle name="System_Text" xfId="459"/>
    <cellStyle name="t" xfId="460"/>
    <cellStyle name="Table Heading" xfId="461"/>
    <cellStyle name="Table Title" xfId="462"/>
    <cellStyle name="Table Units" xfId="463"/>
    <cellStyle name="tahoma" xfId="464"/>
    <cellStyle name="Test" xfId="465"/>
    <cellStyle name="Text Bold" xfId="466"/>
    <cellStyle name="Text Light" xfId="467"/>
    <cellStyle name="Thin Rule" xfId="468"/>
    <cellStyle name="Time" xfId="469"/>
    <cellStyle name="time variable" xfId="470"/>
    <cellStyle name="Title" xfId="471"/>
    <cellStyle name="TitlePage" xfId="472"/>
    <cellStyle name="TOC 1" xfId="473"/>
    <cellStyle name="TOC 2" xfId="474"/>
    <cellStyle name="TOC 3" xfId="475"/>
    <cellStyle name="TOC 4" xfId="476"/>
    <cellStyle name="Toets" xfId="477"/>
    <cellStyle name="Tonnes" xfId="478"/>
    <cellStyle name="Tonnes M" xfId="479"/>
    <cellStyle name="Tonnes_Capital Cost Template" xfId="480"/>
    <cellStyle name="Tons" xfId="481"/>
    <cellStyle name="TonsMega" xfId="482"/>
    <cellStyle name="Total" xfId="483"/>
    <cellStyle name="total label" xfId="484"/>
    <cellStyle name="total variable" xfId="485"/>
    <cellStyle name="tpa" xfId="486"/>
    <cellStyle name="tpd" xfId="487"/>
    <cellStyle name="tpm" xfId="488"/>
    <cellStyle name="True value/switch" xfId="489"/>
    <cellStyle name="Unprotected" xfId="490"/>
    <cellStyle name="usd" xfId="491"/>
    <cellStyle name="USDm" xfId="492"/>
    <cellStyle name="USDma" xfId="493"/>
    <cellStyle name="USDpa" xfId="494"/>
    <cellStyle name="USDpt" xfId="495"/>
    <cellStyle name="Warning" xfId="496"/>
    <cellStyle name="Warning Text" xfId="497"/>
    <cellStyle name="Word_Formula" xfId="498"/>
    <cellStyle name="WPL Share" xfId="499"/>
    <cellStyle name="Y" xfId="500"/>
    <cellStyle name="year" xfId="501"/>
    <cellStyle name="yeardate" xfId="502"/>
    <cellStyle name="yearformat" xfId="503"/>
    <cellStyle name="Years" xfId="504"/>
    <cellStyle name="Yes/No" xfId="505"/>
    <cellStyle name="yesnoformat" xfId="506"/>
  </cellStyles>
  <dxfs count="12">
    <dxf>
      <fill>
        <patternFill>
          <bgColor indexed="10"/>
        </patternFill>
      </fill>
    </dxf>
    <dxf>
      <fill>
        <patternFill>
          <bgColor indexed="11"/>
        </patternFill>
      </fill>
    </dxf>
    <dxf>
      <font>
        <color indexed="10"/>
      </font>
      <fill>
        <patternFill>
          <bgColor indexed="10"/>
        </patternFill>
      </fill>
    </dxf>
    <dxf>
      <font>
        <color indexed="11"/>
      </font>
      <fill>
        <patternFill>
          <bgColor indexed="11"/>
        </patternFill>
      </fill>
    </dxf>
    <dxf>
      <font>
        <color indexed="10"/>
      </font>
      <fill>
        <patternFill>
          <bgColor indexed="10"/>
        </patternFill>
      </fill>
    </dxf>
    <dxf>
      <font>
        <color indexed="11"/>
      </font>
      <fill>
        <patternFill>
          <bgColor indexed="11"/>
        </patternFill>
      </fill>
    </dxf>
    <dxf>
      <font>
        <color indexed="10"/>
      </font>
      <fill>
        <patternFill>
          <bgColor indexed="10"/>
        </patternFill>
      </fill>
    </dxf>
    <dxf>
      <font>
        <color indexed="11"/>
      </font>
      <fill>
        <patternFill>
          <bgColor indexed="11"/>
        </patternFill>
      </fill>
    </dxf>
    <dxf>
      <font>
        <color indexed="10"/>
      </font>
      <fill>
        <patternFill>
          <bgColor indexed="10"/>
        </patternFill>
      </fill>
    </dxf>
    <dxf>
      <font>
        <color indexed="11"/>
      </font>
      <fill>
        <patternFill>
          <bgColor indexed="11"/>
        </patternFill>
      </fill>
    </dxf>
    <dxf>
      <font>
        <color indexed="10"/>
      </font>
      <fill>
        <patternFill>
          <bgColor indexed="10"/>
        </patternFill>
      </fill>
    </dxf>
    <dxf>
      <font>
        <color indexed="1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3</xdr:row>
      <xdr:rowOff>66675</xdr:rowOff>
    </xdr:from>
    <xdr:to>
      <xdr:col>13</xdr:col>
      <xdr:colOff>628650</xdr:colOff>
      <xdr:row>27</xdr:row>
      <xdr:rowOff>76200</xdr:rowOff>
    </xdr:to>
    <xdr:pic>
      <xdr:nvPicPr>
        <xdr:cNvPr id="1" name="Picture 1" descr="r152516_545543.jpg"/>
        <xdr:cNvPicPr preferRelativeResize="1">
          <a:picLocks noChangeAspect="1"/>
        </xdr:cNvPicPr>
      </xdr:nvPicPr>
      <xdr:blipFill>
        <a:blip r:embed="rId1"/>
        <a:stretch>
          <a:fillRect/>
        </a:stretch>
      </xdr:blipFill>
      <xdr:spPr>
        <a:xfrm>
          <a:off x="3295650" y="942975"/>
          <a:ext cx="4829175" cy="3209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27</xdr:row>
      <xdr:rowOff>9525</xdr:rowOff>
    </xdr:from>
    <xdr:to>
      <xdr:col>4</xdr:col>
      <xdr:colOff>2752725</xdr:colOff>
      <xdr:row>30</xdr:row>
      <xdr:rowOff>9525</xdr:rowOff>
    </xdr:to>
    <xdr:grpSp>
      <xdr:nvGrpSpPr>
        <xdr:cNvPr id="1" name="Group 15"/>
        <xdr:cNvGrpSpPr>
          <a:grpSpLocks/>
        </xdr:cNvGrpSpPr>
      </xdr:nvGrpSpPr>
      <xdr:grpSpPr>
        <a:xfrm>
          <a:off x="323850" y="3505200"/>
          <a:ext cx="8343900" cy="400050"/>
          <a:chOff x="73" y="186"/>
          <a:chExt cx="724" cy="42"/>
        </a:xfrm>
        <a:solidFill>
          <a:srgbClr val="FFFFFF"/>
        </a:solidFill>
      </xdr:grpSpPr>
      <xdr:sp>
        <xdr:nvSpPr>
          <xdr:cNvPr id="2" name="Text Box 1"/>
          <xdr:cNvSpPr txBox="1">
            <a:spLocks noChangeArrowheads="1"/>
          </xdr:cNvSpPr>
        </xdr:nvSpPr>
        <xdr:spPr>
          <a:xfrm>
            <a:off x="73" y="187"/>
            <a:ext cx="116" cy="41"/>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Information and Content Sheets</a:t>
            </a:r>
          </a:p>
        </xdr:txBody>
      </xdr:sp>
      <xdr:sp>
        <xdr:nvSpPr>
          <xdr:cNvPr id="3" name="Line 2"/>
          <xdr:cNvSpPr>
            <a:spLocks/>
          </xdr:cNvSpPr>
        </xdr:nvSpPr>
        <xdr:spPr>
          <a:xfrm>
            <a:off x="190" y="208"/>
            <a:ext cx="7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 name="Text Box 4"/>
          <xdr:cNvSpPr txBox="1">
            <a:spLocks noChangeArrowheads="1"/>
          </xdr:cNvSpPr>
        </xdr:nvSpPr>
        <xdr:spPr>
          <a:xfrm>
            <a:off x="263" y="187"/>
            <a:ext cx="102" cy="41"/>
          </a:xfrm>
          <a:prstGeom prst="rect">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Data Sheets</a:t>
            </a:r>
          </a:p>
        </xdr:txBody>
      </xdr:sp>
      <xdr:sp>
        <xdr:nvSpPr>
          <xdr:cNvPr id="5" name="Line 7"/>
          <xdr:cNvSpPr>
            <a:spLocks/>
          </xdr:cNvSpPr>
        </xdr:nvSpPr>
        <xdr:spPr>
          <a:xfrm>
            <a:off x="365" y="207"/>
            <a:ext cx="8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Text Box 8"/>
          <xdr:cNvSpPr txBox="1">
            <a:spLocks noChangeArrowheads="1"/>
          </xdr:cNvSpPr>
        </xdr:nvSpPr>
        <xdr:spPr>
          <a:xfrm>
            <a:off x="453" y="186"/>
            <a:ext cx="102" cy="41"/>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Railway Sheets</a:t>
            </a:r>
          </a:p>
        </xdr:txBody>
      </xdr:sp>
      <xdr:sp>
        <xdr:nvSpPr>
          <xdr:cNvPr id="7" name="Line 11"/>
          <xdr:cNvSpPr>
            <a:spLocks/>
          </xdr:cNvSpPr>
        </xdr:nvSpPr>
        <xdr:spPr>
          <a:xfrm>
            <a:off x="555" y="207"/>
            <a:ext cx="8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Text Box 13"/>
          <xdr:cNvSpPr txBox="1">
            <a:spLocks noChangeArrowheads="1"/>
          </xdr:cNvSpPr>
        </xdr:nvSpPr>
        <xdr:spPr>
          <a:xfrm>
            <a:off x="641" y="186"/>
            <a:ext cx="156" cy="41"/>
          </a:xfrm>
          <a:prstGeom prst="rect">
            <a:avLst/>
          </a:prstGeom>
          <a:solidFill>
            <a:srgbClr val="FF99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Summary and Error Check Sheets</a:t>
            </a:r>
          </a:p>
        </xdr:txBody>
      </xdr:sp>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0"/>
  <sheetViews>
    <sheetView showGridLines="0" zoomScale="85" zoomScaleNormal="85" zoomScalePageLayoutView="0" workbookViewId="0" topLeftCell="A1">
      <selection activeCell="A1" sqref="A1"/>
    </sheetView>
  </sheetViews>
  <sheetFormatPr defaultColWidth="9.140625" defaultRowHeight="12.75"/>
  <cols>
    <col min="1" max="1" width="2.8515625" style="179" customWidth="1"/>
    <col min="2" max="5" width="9.140625" style="179" customWidth="1"/>
    <col min="6" max="6" width="9.00390625" style="179" customWidth="1"/>
    <col min="7" max="13" width="9.140625" style="179" customWidth="1"/>
    <col min="14" max="14" width="10.28125" style="179" customWidth="1"/>
    <col min="15" max="16384" width="9.140625" style="179" customWidth="1"/>
  </cols>
  <sheetData>
    <row r="1" ht="10.5" thickBot="1">
      <c r="A1" s="189"/>
    </row>
    <row r="2" spans="7:14" ht="48" customHeight="1" thickBot="1">
      <c r="G2" s="232" t="s">
        <v>319</v>
      </c>
      <c r="H2" s="233"/>
      <c r="I2" s="233"/>
      <c r="J2" s="233"/>
      <c r="K2" s="233"/>
      <c r="L2" s="233"/>
      <c r="M2" s="233"/>
      <c r="N2" s="234"/>
    </row>
    <row r="3" ht="10.5" thickBot="1"/>
    <row r="4" spans="7:14" ht="10.5">
      <c r="G4" s="180"/>
      <c r="H4" s="181"/>
      <c r="I4" s="181"/>
      <c r="J4" s="181"/>
      <c r="K4" s="181"/>
      <c r="L4" s="181"/>
      <c r="M4" s="181"/>
      <c r="N4" s="182"/>
    </row>
    <row r="5" spans="7:14" ht="10.5">
      <c r="G5" s="183"/>
      <c r="H5" s="184"/>
      <c r="I5" s="184"/>
      <c r="J5" s="184"/>
      <c r="K5" s="184"/>
      <c r="L5" s="184"/>
      <c r="M5" s="184"/>
      <c r="N5" s="185"/>
    </row>
    <row r="6" spans="7:14" ht="10.5">
      <c r="G6" s="183"/>
      <c r="H6" s="184"/>
      <c r="I6" s="184"/>
      <c r="J6" s="184"/>
      <c r="K6" s="184"/>
      <c r="L6" s="184"/>
      <c r="M6" s="184"/>
      <c r="N6" s="185"/>
    </row>
    <row r="7" spans="7:14" ht="10.5">
      <c r="G7" s="183"/>
      <c r="H7" s="184"/>
      <c r="I7" s="184"/>
      <c r="J7" s="184"/>
      <c r="K7" s="184"/>
      <c r="L7" s="184"/>
      <c r="M7" s="184"/>
      <c r="N7" s="185"/>
    </row>
    <row r="8" spans="7:14" ht="10.5">
      <c r="G8" s="183"/>
      <c r="H8" s="184"/>
      <c r="I8" s="184"/>
      <c r="J8" s="184"/>
      <c r="K8" s="184"/>
      <c r="L8" s="184"/>
      <c r="M8" s="184"/>
      <c r="N8" s="185"/>
    </row>
    <row r="9" spans="7:14" ht="10.5">
      <c r="G9" s="183"/>
      <c r="H9" s="184"/>
      <c r="I9" s="184"/>
      <c r="J9" s="184"/>
      <c r="K9" s="184"/>
      <c r="L9" s="184"/>
      <c r="M9" s="184"/>
      <c r="N9" s="185"/>
    </row>
    <row r="10" spans="7:14" ht="10.5">
      <c r="G10" s="183"/>
      <c r="H10" s="184"/>
      <c r="I10" s="184"/>
      <c r="J10" s="184"/>
      <c r="K10" s="184"/>
      <c r="L10" s="184"/>
      <c r="M10" s="184"/>
      <c r="N10" s="185"/>
    </row>
    <row r="11" spans="7:14" ht="10.5">
      <c r="G11" s="183"/>
      <c r="H11" s="184"/>
      <c r="I11" s="184"/>
      <c r="J11" s="184"/>
      <c r="K11" s="184"/>
      <c r="L11" s="184"/>
      <c r="M11" s="184"/>
      <c r="N11" s="185"/>
    </row>
    <row r="12" spans="7:14" ht="10.5">
      <c r="G12" s="183"/>
      <c r="H12" s="184"/>
      <c r="I12" s="184"/>
      <c r="J12" s="184"/>
      <c r="K12" s="184"/>
      <c r="L12" s="184"/>
      <c r="M12" s="184"/>
      <c r="N12" s="185"/>
    </row>
    <row r="13" spans="7:14" ht="10.5">
      <c r="G13" s="183"/>
      <c r="H13" s="184"/>
      <c r="I13" s="184"/>
      <c r="J13" s="184"/>
      <c r="K13" s="184"/>
      <c r="L13" s="184"/>
      <c r="M13" s="184"/>
      <c r="N13" s="185"/>
    </row>
    <row r="14" spans="7:14" ht="10.5">
      <c r="G14" s="183"/>
      <c r="H14" s="184"/>
      <c r="I14" s="184"/>
      <c r="J14" s="184"/>
      <c r="K14" s="184"/>
      <c r="L14" s="184"/>
      <c r="M14" s="184"/>
      <c r="N14" s="185"/>
    </row>
    <row r="15" spans="7:14" ht="10.5">
      <c r="G15" s="183"/>
      <c r="H15" s="184"/>
      <c r="I15" s="184"/>
      <c r="J15" s="184"/>
      <c r="K15" s="184"/>
      <c r="L15" s="184"/>
      <c r="M15" s="184"/>
      <c r="N15" s="185"/>
    </row>
    <row r="16" spans="7:14" ht="10.5">
      <c r="G16" s="183"/>
      <c r="H16" s="184"/>
      <c r="I16" s="184"/>
      <c r="J16" s="184"/>
      <c r="K16" s="184"/>
      <c r="L16" s="184"/>
      <c r="M16" s="184"/>
      <c r="N16" s="185"/>
    </row>
    <row r="17" spans="7:14" ht="10.5">
      <c r="G17" s="183"/>
      <c r="H17" s="184"/>
      <c r="I17" s="184"/>
      <c r="J17" s="184"/>
      <c r="K17" s="184"/>
      <c r="L17" s="184"/>
      <c r="M17" s="184"/>
      <c r="N17" s="185"/>
    </row>
    <row r="18" spans="7:14" ht="10.5">
      <c r="G18" s="183"/>
      <c r="H18" s="184"/>
      <c r="I18" s="184"/>
      <c r="J18" s="184"/>
      <c r="K18" s="184"/>
      <c r="L18" s="184"/>
      <c r="M18" s="184"/>
      <c r="N18" s="185"/>
    </row>
    <row r="19" spans="7:14" ht="10.5">
      <c r="G19" s="183"/>
      <c r="H19" s="184"/>
      <c r="I19" s="184"/>
      <c r="J19" s="184"/>
      <c r="K19" s="184"/>
      <c r="L19" s="184"/>
      <c r="M19" s="184"/>
      <c r="N19" s="185"/>
    </row>
    <row r="20" spans="7:14" ht="10.5">
      <c r="G20" s="183"/>
      <c r="H20" s="184"/>
      <c r="I20" s="184"/>
      <c r="J20" s="184"/>
      <c r="K20" s="184"/>
      <c r="L20" s="184"/>
      <c r="M20" s="184"/>
      <c r="N20" s="185"/>
    </row>
    <row r="21" spans="7:14" ht="10.5">
      <c r="G21" s="183"/>
      <c r="H21" s="184"/>
      <c r="I21" s="184"/>
      <c r="J21" s="184"/>
      <c r="K21" s="184"/>
      <c r="L21" s="184"/>
      <c r="M21" s="184"/>
      <c r="N21" s="185"/>
    </row>
    <row r="22" spans="7:14" ht="10.5">
      <c r="G22" s="183"/>
      <c r="H22" s="184"/>
      <c r="I22" s="184"/>
      <c r="J22" s="184"/>
      <c r="K22" s="184"/>
      <c r="L22" s="184"/>
      <c r="M22" s="184"/>
      <c r="N22" s="185"/>
    </row>
    <row r="23" spans="7:14" ht="10.5">
      <c r="G23" s="183"/>
      <c r="H23" s="184"/>
      <c r="I23" s="184"/>
      <c r="J23" s="184"/>
      <c r="K23" s="184"/>
      <c r="L23" s="184"/>
      <c r="M23" s="184"/>
      <c r="N23" s="185"/>
    </row>
    <row r="24" spans="7:14" ht="10.5">
      <c r="G24" s="183"/>
      <c r="H24" s="184"/>
      <c r="I24" s="184"/>
      <c r="J24" s="184"/>
      <c r="K24" s="184"/>
      <c r="L24" s="184"/>
      <c r="M24" s="184"/>
      <c r="N24" s="185"/>
    </row>
    <row r="25" spans="7:14" ht="10.5">
      <c r="G25" s="183"/>
      <c r="H25" s="184"/>
      <c r="I25" s="184"/>
      <c r="J25" s="184"/>
      <c r="K25" s="184"/>
      <c r="L25" s="184"/>
      <c r="M25" s="184"/>
      <c r="N25" s="185"/>
    </row>
    <row r="26" spans="7:14" ht="10.5">
      <c r="G26" s="183"/>
      <c r="H26" s="184"/>
      <c r="I26" s="184"/>
      <c r="J26" s="184"/>
      <c r="K26" s="184"/>
      <c r="L26" s="184"/>
      <c r="M26" s="184"/>
      <c r="N26" s="185"/>
    </row>
    <row r="27" spans="7:14" ht="10.5">
      <c r="G27" s="183"/>
      <c r="H27" s="184"/>
      <c r="I27" s="184"/>
      <c r="J27" s="184"/>
      <c r="K27" s="184"/>
      <c r="L27" s="184"/>
      <c r="M27" s="184"/>
      <c r="N27" s="185"/>
    </row>
    <row r="28" spans="7:14" ht="11.25" thickBot="1">
      <c r="G28" s="186"/>
      <c r="H28" s="187"/>
      <c r="I28" s="187"/>
      <c r="J28" s="187"/>
      <c r="K28" s="187"/>
      <c r="L28" s="187"/>
      <c r="M28" s="187"/>
      <c r="N28" s="188"/>
    </row>
    <row r="29" ht="10.5" thickBot="1"/>
    <row r="30" spans="7:14" ht="16.5" thickBot="1">
      <c r="G30" s="235" t="str">
        <f>modelname</f>
        <v>3rd Party Access Model</v>
      </c>
      <c r="H30" s="236"/>
      <c r="I30" s="236"/>
      <c r="J30" s="236"/>
      <c r="K30" s="236"/>
      <c r="L30" s="236"/>
      <c r="M30" s="236"/>
      <c r="N30" s="237"/>
    </row>
    <row r="37" ht="84" customHeight="1"/>
  </sheetData>
  <sheetProtection password="C90E" sheet="1" objects="1" scenarios="1" selectLockedCells="1" selectUnlockedCells="1"/>
  <mergeCells count="2">
    <mergeCell ref="G2:N2"/>
    <mergeCell ref="G30:N30"/>
  </mergeCells>
  <printOptions/>
  <pageMargins left="0.75" right="0.75" top="1" bottom="1" header="0.5" footer="0.5"/>
  <pageSetup horizontalDpi="600" verticalDpi="600" orientation="portrait" paperSize="9" r:id="rId2"/>
  <headerFooter alignWithMargins="0">
    <oddFooter>&amp;L&amp;F&amp;R&amp;P</oddFooter>
  </headerFooter>
  <drawing r:id="rId1"/>
</worksheet>
</file>

<file path=xl/worksheets/sheet10.xml><?xml version="1.0" encoding="utf-8"?>
<worksheet xmlns="http://schemas.openxmlformats.org/spreadsheetml/2006/main" xmlns:r="http://schemas.openxmlformats.org/officeDocument/2006/relationships">
  <sheetPr>
    <tabColor indexed="42"/>
  </sheetPr>
  <dimension ref="A2:U60"/>
  <sheetViews>
    <sheetView zoomScale="85" zoomScaleNormal="85" zoomScalePageLayoutView="0" workbookViewId="0" topLeftCell="A1">
      <selection activeCell="L31" sqref="L31"/>
    </sheetView>
  </sheetViews>
  <sheetFormatPr defaultColWidth="9.140625" defaultRowHeight="12.75" outlineLevelRow="1"/>
  <cols>
    <col min="1" max="1" width="5.57421875" style="1" bestFit="1" customWidth="1"/>
    <col min="2" max="2" width="28.7109375" style="1" bestFit="1" customWidth="1"/>
    <col min="3" max="3" width="46.140625" style="1" bestFit="1" customWidth="1"/>
    <col min="4" max="4" width="15.00390625" style="1" bestFit="1" customWidth="1"/>
    <col min="5" max="5" width="12.57421875" style="1" bestFit="1" customWidth="1"/>
    <col min="6" max="6" width="29.140625" style="1" bestFit="1" customWidth="1"/>
    <col min="7" max="7" width="22.57421875" style="1" bestFit="1" customWidth="1"/>
    <col min="8" max="8" width="19.140625" style="1" bestFit="1" customWidth="1"/>
    <col min="9" max="9" width="17.421875" style="1" bestFit="1" customWidth="1"/>
    <col min="10" max="10" width="16.140625" style="1" bestFit="1" customWidth="1"/>
    <col min="11" max="11" width="19.28125" style="1" bestFit="1" customWidth="1"/>
    <col min="12" max="13" width="14.28125" style="1" bestFit="1" customWidth="1"/>
    <col min="14" max="14" width="13.140625" style="1" customWidth="1"/>
    <col min="15" max="15" width="14.28125" style="1" bestFit="1" customWidth="1"/>
    <col min="16" max="16" width="13.140625" style="1" bestFit="1" customWidth="1"/>
    <col min="17" max="17" width="14.28125" style="1" bestFit="1" customWidth="1"/>
    <col min="18" max="18" width="13.140625" style="1" bestFit="1" customWidth="1"/>
    <col min="19" max="19" width="14.28125" style="1" bestFit="1" customWidth="1"/>
    <col min="20" max="33" width="15.7109375" style="1" customWidth="1"/>
    <col min="34" max="16384" width="9.140625" style="1" customWidth="1"/>
  </cols>
  <sheetData>
    <row r="2" spans="2:4" ht="12">
      <c r="B2" s="14" t="str">
        <f>modelname</f>
        <v>3rd Party Access Model</v>
      </c>
      <c r="D2" s="192" t="str">
        <f>HYPERLINK(Contents!$A$1,"Back to Contents Page")</f>
        <v>Back to Contents Page</v>
      </c>
    </row>
    <row r="3" spans="1:2" ht="11.25">
      <c r="A3" s="24"/>
      <c r="B3" s="190" t="s">
        <v>327</v>
      </c>
    </row>
    <row r="4" ht="9.75">
      <c r="B4" s="171" t="str">
        <f>Contents!D73</f>
        <v>This sheet contains all assets (owned and leased) that relate to the railway</v>
      </c>
    </row>
    <row r="5" ht="9.75">
      <c r="J5" s="12"/>
    </row>
    <row r="6" ht="9.75">
      <c r="B6" s="2" t="s">
        <v>684</v>
      </c>
    </row>
    <row r="7" spans="2:9" ht="9.75">
      <c r="B7" s="9" t="s">
        <v>678</v>
      </c>
      <c r="C7" s="9" t="s">
        <v>679</v>
      </c>
      <c r="D7" s="9" t="s">
        <v>680</v>
      </c>
      <c r="E7" s="9" t="s">
        <v>681</v>
      </c>
      <c r="F7" s="9" t="s">
        <v>25</v>
      </c>
      <c r="G7" s="9" t="s">
        <v>743</v>
      </c>
      <c r="H7" s="9" t="s">
        <v>662</v>
      </c>
      <c r="I7" s="2" t="s">
        <v>682</v>
      </c>
    </row>
    <row r="8" spans="2:9" ht="9.75" outlineLevel="1">
      <c r="B8" s="6">
        <v>24</v>
      </c>
      <c r="C8" s="1" t="s">
        <v>685</v>
      </c>
      <c r="D8" s="222" t="s">
        <v>683</v>
      </c>
      <c r="E8" s="11">
        <v>860044.43574482</v>
      </c>
      <c r="F8" s="222" t="s">
        <v>597</v>
      </c>
      <c r="G8" s="219">
        <v>20</v>
      </c>
      <c r="H8" s="12">
        <f aca="true" t="shared" si="0" ref="H8:H33">IF(D8="Leased",0,PMT(wacc,G8,-E8))</f>
        <v>132332.22596766014</v>
      </c>
      <c r="I8" s="8">
        <f>IF(D8="Owned",0,#REF!)</f>
        <v>0</v>
      </c>
    </row>
    <row r="9" spans="2:9" ht="9.75" outlineLevel="1">
      <c r="B9" s="6" t="s">
        <v>735</v>
      </c>
      <c r="C9" s="1" t="s">
        <v>734</v>
      </c>
      <c r="D9" s="222" t="s">
        <v>683</v>
      </c>
      <c r="E9" s="8">
        <v>139019.1192401262</v>
      </c>
      <c r="F9" s="222" t="s">
        <v>597</v>
      </c>
      <c r="G9" s="219">
        <v>20</v>
      </c>
      <c r="H9" s="12">
        <f t="shared" si="0"/>
        <v>21390.417444160845</v>
      </c>
      <c r="I9" s="8"/>
    </row>
    <row r="10" spans="2:9" ht="9.75" outlineLevel="1">
      <c r="B10" s="6">
        <v>48</v>
      </c>
      <c r="C10" s="1" t="s">
        <v>686</v>
      </c>
      <c r="D10" s="222" t="s">
        <v>683</v>
      </c>
      <c r="E10" s="11">
        <v>88518.88775971546</v>
      </c>
      <c r="F10" s="222" t="s">
        <v>597</v>
      </c>
      <c r="G10" s="219">
        <v>28.764383561643836</v>
      </c>
      <c r="H10" s="12">
        <f t="shared" si="0"/>
        <v>12959.964849251588</v>
      </c>
      <c r="I10" s="8">
        <f>IF(D10="Owned",0,#REF!)</f>
        <v>0</v>
      </c>
    </row>
    <row r="11" spans="2:9" ht="9.75" outlineLevel="1">
      <c r="B11" s="6">
        <v>58</v>
      </c>
      <c r="C11" s="1" t="s">
        <v>687</v>
      </c>
      <c r="D11" s="222" t="s">
        <v>683</v>
      </c>
      <c r="E11" s="11">
        <v>21160991.468192454</v>
      </c>
      <c r="F11" s="222" t="s">
        <v>598</v>
      </c>
      <c r="G11" s="219">
        <v>28.764383561643836</v>
      </c>
      <c r="H11" s="12">
        <f t="shared" si="0"/>
        <v>3098160.319722125</v>
      </c>
      <c r="I11" s="8">
        <f>IF(D11="Owned",0,#REF!)</f>
        <v>0</v>
      </c>
    </row>
    <row r="12" spans="2:9" ht="9.75" outlineLevel="1">
      <c r="B12" s="6">
        <v>89</v>
      </c>
      <c r="C12" s="1" t="s">
        <v>688</v>
      </c>
      <c r="D12" s="222" t="s">
        <v>683</v>
      </c>
      <c r="E12" s="11">
        <v>29386042.838899314</v>
      </c>
      <c r="F12" s="222" t="s">
        <v>731</v>
      </c>
      <c r="G12" s="219">
        <v>50</v>
      </c>
      <c r="H12" s="12">
        <f t="shared" si="0"/>
        <v>4216230.8564380035</v>
      </c>
      <c r="I12" s="8">
        <f>IF(D12="Owned",0,#REF!)</f>
        <v>0</v>
      </c>
    </row>
    <row r="13" spans="2:9" ht="9.75" outlineLevel="1">
      <c r="B13" s="6">
        <v>99</v>
      </c>
      <c r="C13" s="1" t="s">
        <v>689</v>
      </c>
      <c r="D13" s="222" t="s">
        <v>683</v>
      </c>
      <c r="E13" s="11">
        <v>3989013.5059547545</v>
      </c>
      <c r="F13" s="222" t="s">
        <v>598</v>
      </c>
      <c r="G13" s="219">
        <v>10</v>
      </c>
      <c r="H13" s="12">
        <f t="shared" si="0"/>
        <v>774621.7035372577</v>
      </c>
      <c r="I13" s="8">
        <f>IF(D13="Owned",0,#REF!)</f>
        <v>0</v>
      </c>
    </row>
    <row r="14" spans="2:11" ht="9.75" outlineLevel="1">
      <c r="B14" s="6">
        <v>100</v>
      </c>
      <c r="C14" s="1" t="s">
        <v>690</v>
      </c>
      <c r="D14" s="222" t="s">
        <v>683</v>
      </c>
      <c r="E14" s="11">
        <v>44189113.465775564</v>
      </c>
      <c r="F14" s="222" t="s">
        <v>598</v>
      </c>
      <c r="G14" s="219">
        <v>25</v>
      </c>
      <c r="H14" s="12">
        <f t="shared" si="0"/>
        <v>6563027.335014887</v>
      </c>
      <c r="I14" s="8">
        <f>IF(D14="Owned",0,#REF!)</f>
        <v>0</v>
      </c>
      <c r="K14" s="11"/>
    </row>
    <row r="15" spans="2:9" ht="9.75" outlineLevel="1">
      <c r="B15" s="6" t="s">
        <v>733</v>
      </c>
      <c r="C15" s="1" t="s">
        <v>732</v>
      </c>
      <c r="D15" s="222" t="s">
        <v>683</v>
      </c>
      <c r="E15" s="11">
        <v>7159142.204999999</v>
      </c>
      <c r="F15" s="222" t="s">
        <v>598</v>
      </c>
      <c r="G15" s="219">
        <v>25</v>
      </c>
      <c r="H15" s="12">
        <f t="shared" si="0"/>
        <v>1063285.5538743518</v>
      </c>
      <c r="I15" s="8"/>
    </row>
    <row r="16" spans="2:9" ht="9.75" outlineLevel="1">
      <c r="B16" s="6">
        <v>101</v>
      </c>
      <c r="C16" s="1" t="s">
        <v>691</v>
      </c>
      <c r="D16" s="222" t="s">
        <v>683</v>
      </c>
      <c r="E16" s="11">
        <v>561933697.0801115</v>
      </c>
      <c r="F16" s="222" t="s">
        <v>598</v>
      </c>
      <c r="G16" s="219">
        <v>100</v>
      </c>
      <c r="H16" s="12">
        <f t="shared" si="0"/>
        <v>80525221.79341216</v>
      </c>
      <c r="I16" s="8">
        <f>IF(D16="Owned",0,#REF!)</f>
        <v>0</v>
      </c>
    </row>
    <row r="17" spans="2:9" ht="9.75" outlineLevel="1">
      <c r="B17" s="6">
        <v>102</v>
      </c>
      <c r="C17" s="1" t="s">
        <v>692</v>
      </c>
      <c r="D17" s="222" t="s">
        <v>683</v>
      </c>
      <c r="E17" s="11">
        <v>196368238.49477926</v>
      </c>
      <c r="F17" s="222" t="s">
        <v>598</v>
      </c>
      <c r="G17" s="219">
        <v>25</v>
      </c>
      <c r="H17" s="12">
        <f t="shared" si="0"/>
        <v>29164878.312576022</v>
      </c>
      <c r="I17" s="8">
        <f>IF(D17="Owned",0,#REF!)</f>
        <v>0</v>
      </c>
    </row>
    <row r="18" spans="2:9" ht="9.75" outlineLevel="1">
      <c r="B18" s="225" t="s">
        <v>738</v>
      </c>
      <c r="C18" s="1" t="s">
        <v>737</v>
      </c>
      <c r="D18" s="222" t="s">
        <v>683</v>
      </c>
      <c r="E18" s="8">
        <v>7472669.49465133</v>
      </c>
      <c r="F18" s="222" t="s">
        <v>731</v>
      </c>
      <c r="G18" s="219">
        <v>6</v>
      </c>
      <c r="H18" s="12">
        <f t="shared" si="0"/>
        <v>1939049.1713510118</v>
      </c>
      <c r="I18" s="8"/>
    </row>
    <row r="19" spans="2:9" ht="9.75" outlineLevel="1">
      <c r="B19" s="225" t="s">
        <v>739</v>
      </c>
      <c r="C19" s="1" t="s">
        <v>740</v>
      </c>
      <c r="D19" s="222" t="s">
        <v>683</v>
      </c>
      <c r="E19" s="8">
        <v>13252947.123011926</v>
      </c>
      <c r="F19" s="222" t="s">
        <v>731</v>
      </c>
      <c r="G19" s="219">
        <v>50</v>
      </c>
      <c r="H19" s="12">
        <f t="shared" si="0"/>
        <v>1901497.418523368</v>
      </c>
      <c r="I19" s="8"/>
    </row>
    <row r="20" spans="2:9" ht="9.75" outlineLevel="1">
      <c r="B20" s="225">
        <v>102.23</v>
      </c>
      <c r="C20" s="1" t="s">
        <v>693</v>
      </c>
      <c r="D20" s="222" t="s">
        <v>683</v>
      </c>
      <c r="E20" s="11">
        <v>2213061.9603823726</v>
      </c>
      <c r="F20" s="222" t="s">
        <v>598</v>
      </c>
      <c r="G20" s="219">
        <v>50</v>
      </c>
      <c r="H20" s="12">
        <f t="shared" si="0"/>
        <v>317524.2129648659</v>
      </c>
      <c r="I20" s="8">
        <f>IF(D20="Owned",0,#REF!)</f>
        <v>0</v>
      </c>
    </row>
    <row r="21" spans="2:9" ht="9.75" outlineLevel="1">
      <c r="B21" s="6">
        <v>1277</v>
      </c>
      <c r="C21" s="1" t="s">
        <v>694</v>
      </c>
      <c r="D21" s="222" t="s">
        <v>683</v>
      </c>
      <c r="E21" s="11">
        <v>55637300.459612854</v>
      </c>
      <c r="F21" s="222" t="s">
        <v>598</v>
      </c>
      <c r="G21" s="219">
        <v>50</v>
      </c>
      <c r="H21" s="12">
        <f t="shared" si="0"/>
        <v>7982691.111312573</v>
      </c>
      <c r="I21" s="8">
        <f>IF(D21="Owned",0,#REF!)</f>
        <v>0</v>
      </c>
    </row>
    <row r="22" spans="2:9" ht="9.75" outlineLevel="1">
      <c r="B22" s="6">
        <v>1290</v>
      </c>
      <c r="C22" s="1" t="s">
        <v>695</v>
      </c>
      <c r="D22" s="222" t="s">
        <v>683</v>
      </c>
      <c r="E22" s="11">
        <v>180586.68914507504</v>
      </c>
      <c r="F22" s="222" t="s">
        <v>731</v>
      </c>
      <c r="G22" s="219">
        <v>20</v>
      </c>
      <c r="H22" s="12">
        <f t="shared" si="0"/>
        <v>27786.283547084273</v>
      </c>
      <c r="I22" s="8">
        <f>IF(D22="Owned",0,#REF!)</f>
        <v>0</v>
      </c>
    </row>
    <row r="23" spans="2:9" ht="9.75" outlineLevel="1">
      <c r="B23" s="6" t="s">
        <v>741</v>
      </c>
      <c r="C23" s="1" t="s">
        <v>742</v>
      </c>
      <c r="D23" s="222" t="s">
        <v>683</v>
      </c>
      <c r="E23" s="8">
        <v>9419015.174467344</v>
      </c>
      <c r="F23" s="222" t="s">
        <v>597</v>
      </c>
      <c r="G23" s="219">
        <v>20</v>
      </c>
      <c r="H23" s="12">
        <f t="shared" si="0"/>
        <v>1449273.07550218</v>
      </c>
      <c r="I23" s="8"/>
    </row>
    <row r="24" spans="2:9" ht="9.75" outlineLevel="1">
      <c r="B24" s="6">
        <v>1373</v>
      </c>
      <c r="C24" s="1" t="s">
        <v>696</v>
      </c>
      <c r="D24" s="222" t="s">
        <v>683</v>
      </c>
      <c r="E24" s="11">
        <v>808697.1392455284</v>
      </c>
      <c r="F24" s="222" t="s">
        <v>598</v>
      </c>
      <c r="G24" s="219">
        <v>28.764383561643836</v>
      </c>
      <c r="H24" s="12">
        <f t="shared" si="0"/>
        <v>118400.5669700933</v>
      </c>
      <c r="I24" s="8">
        <f>IF(D24="Owned",0,#REF!)</f>
        <v>0</v>
      </c>
    </row>
    <row r="25" spans="2:9" ht="9.75" outlineLevel="1">
      <c r="B25" s="6">
        <v>1374</v>
      </c>
      <c r="C25" s="1" t="s">
        <v>697</v>
      </c>
      <c r="D25" s="222" t="s">
        <v>683</v>
      </c>
      <c r="E25" s="11">
        <v>63145950.64296085</v>
      </c>
      <c r="F25" s="222" t="s">
        <v>597</v>
      </c>
      <c r="G25" s="219">
        <v>20</v>
      </c>
      <c r="H25" s="12">
        <f t="shared" si="0"/>
        <v>9716061.010487547</v>
      </c>
      <c r="I25" s="8">
        <f>IF(D25="Owned",0,#REF!)</f>
        <v>0</v>
      </c>
    </row>
    <row r="26" spans="2:9" ht="9.75" outlineLevel="1">
      <c r="B26" s="6">
        <v>1455</v>
      </c>
      <c r="C26" s="1" t="s">
        <v>698</v>
      </c>
      <c r="D26" s="222" t="s">
        <v>683</v>
      </c>
      <c r="E26" s="11">
        <v>324258.8496609659</v>
      </c>
      <c r="F26" s="222" t="s">
        <v>731</v>
      </c>
      <c r="G26" s="219">
        <v>20</v>
      </c>
      <c r="H26" s="12">
        <f t="shared" si="0"/>
        <v>49892.64924223065</v>
      </c>
      <c r="I26" s="8">
        <f>IF(D26="Owned",0,#REF!)</f>
        <v>0</v>
      </c>
    </row>
    <row r="27" spans="2:9" ht="9.75" outlineLevel="1">
      <c r="B27" s="6">
        <v>1629</v>
      </c>
      <c r="C27" s="1" t="s">
        <v>699</v>
      </c>
      <c r="D27" s="222" t="s">
        <v>683</v>
      </c>
      <c r="E27" s="11">
        <v>7676541.163187836</v>
      </c>
      <c r="F27" s="222" t="s">
        <v>598</v>
      </c>
      <c r="G27" s="219">
        <v>28.764383561643836</v>
      </c>
      <c r="H27" s="12">
        <f t="shared" si="0"/>
        <v>1123914.976302082</v>
      </c>
      <c r="I27" s="8">
        <f>IF(D27="Owned",0,#REF!)</f>
        <v>0</v>
      </c>
    </row>
    <row r="28" spans="2:9" ht="9.75" outlineLevel="1">
      <c r="B28" s="6">
        <v>1632</v>
      </c>
      <c r="C28" s="1" t="s">
        <v>700</v>
      </c>
      <c r="D28" s="222" t="s">
        <v>683</v>
      </c>
      <c r="E28" s="11">
        <v>558622.6513872715</v>
      </c>
      <c r="F28" s="222" t="s">
        <v>598</v>
      </c>
      <c r="G28" s="219">
        <v>20</v>
      </c>
      <c r="H28" s="12">
        <f t="shared" si="0"/>
        <v>85953.44131261544</v>
      </c>
      <c r="I28" s="8">
        <f>IF(D28="Owned",0,#REF!)</f>
        <v>0</v>
      </c>
    </row>
    <row r="29" spans="2:9" ht="9.75" outlineLevel="1">
      <c r="B29" s="231">
        <v>1.05129130263275E+22</v>
      </c>
      <c r="C29" s="1" t="s">
        <v>754</v>
      </c>
      <c r="D29" s="222" t="s">
        <v>683</v>
      </c>
      <c r="E29" s="11">
        <v>33715336.572153896</v>
      </c>
      <c r="F29" s="222" t="s">
        <v>731</v>
      </c>
      <c r="G29" s="219">
        <v>50</v>
      </c>
      <c r="H29" s="12">
        <f t="shared" si="0"/>
        <v>4837386.345960707</v>
      </c>
      <c r="I29" s="8"/>
    </row>
    <row r="30" spans="2:9" ht="9.75" outlineLevel="1">
      <c r="B30" s="6">
        <v>2041</v>
      </c>
      <c r="C30" s="1" t="s">
        <v>153</v>
      </c>
      <c r="D30" s="222" t="s">
        <v>683</v>
      </c>
      <c r="E30" s="11">
        <v>174720.5995</v>
      </c>
      <c r="F30" s="222" t="s">
        <v>598</v>
      </c>
      <c r="G30" s="219">
        <v>28.764383561643836</v>
      </c>
      <c r="H30" s="12">
        <f t="shared" si="0"/>
        <v>25580.674195848518</v>
      </c>
      <c r="I30" s="8">
        <f>IF(D30="Owned",0,#REF!)</f>
        <v>0</v>
      </c>
    </row>
    <row r="31" spans="2:9" ht="9.75" outlineLevel="1">
      <c r="B31" s="6">
        <v>1734</v>
      </c>
      <c r="C31" s="1" t="s">
        <v>24</v>
      </c>
      <c r="D31" s="222" t="s">
        <v>683</v>
      </c>
      <c r="E31" s="11">
        <v>181467.7072</v>
      </c>
      <c r="F31" s="222" t="s">
        <v>597</v>
      </c>
      <c r="G31" s="219">
        <v>28.764383561643836</v>
      </c>
      <c r="H31" s="12">
        <f t="shared" si="0"/>
        <v>26568.51171662122</v>
      </c>
      <c r="I31" s="8">
        <f>IF(D31="Owned",0,#REF!)</f>
        <v>0</v>
      </c>
    </row>
    <row r="32" spans="2:9" ht="9.75" outlineLevel="1">
      <c r="B32" s="6">
        <v>2044</v>
      </c>
      <c r="C32" s="1" t="s">
        <v>154</v>
      </c>
      <c r="D32" s="222" t="s">
        <v>683</v>
      </c>
      <c r="E32" s="11">
        <v>416969.77060000005</v>
      </c>
      <c r="F32" s="222" t="s">
        <v>597</v>
      </c>
      <c r="G32" s="219">
        <v>28.764383561643836</v>
      </c>
      <c r="H32" s="12">
        <f t="shared" si="0"/>
        <v>61048.14132827135</v>
      </c>
      <c r="I32" s="8">
        <f>IF(D32="Owned",0,#REF!)</f>
        <v>0</v>
      </c>
    </row>
    <row r="33" spans="2:9" ht="9.75" outlineLevel="1">
      <c r="B33" s="6">
        <v>2032</v>
      </c>
      <c r="C33" s="1" t="s">
        <v>155</v>
      </c>
      <c r="D33" s="222" t="s">
        <v>683</v>
      </c>
      <c r="E33" s="11">
        <v>1423937.0444999998</v>
      </c>
      <c r="F33" s="222" t="s">
        <v>597</v>
      </c>
      <c r="G33" s="219">
        <v>28.764383561643836</v>
      </c>
      <c r="H33" s="12">
        <f t="shared" si="0"/>
        <v>208477.2471877533</v>
      </c>
      <c r="I33" s="8">
        <f>IF(D33="Owned",0,#REF!)</f>
        <v>0</v>
      </c>
    </row>
    <row r="34" spans="2:9" ht="9.75" outlineLevel="1">
      <c r="B34" s="6">
        <v>2073</v>
      </c>
      <c r="C34" s="1" t="s">
        <v>156</v>
      </c>
      <c r="D34" s="222" t="s">
        <v>683</v>
      </c>
      <c r="E34" s="11">
        <v>22991159.6054</v>
      </c>
      <c r="F34" s="222" t="s">
        <v>731</v>
      </c>
      <c r="G34" s="219">
        <v>28.764383561643836</v>
      </c>
      <c r="H34" s="12">
        <f aca="true" t="shared" si="1" ref="H34:H55">IF(D34="Leased",0,PMT(wacc,G34,-E34))</f>
        <v>3366113.468781284</v>
      </c>
      <c r="I34" s="8">
        <f>IF(D34="Owned",0,#REF!)</f>
        <v>0</v>
      </c>
    </row>
    <row r="35" spans="2:9" ht="9.75" outlineLevel="1">
      <c r="B35" s="6">
        <v>1765</v>
      </c>
      <c r="C35" s="1" t="s">
        <v>701</v>
      </c>
      <c r="D35" s="222" t="s">
        <v>683</v>
      </c>
      <c r="E35" s="11">
        <v>882401</v>
      </c>
      <c r="F35" s="222" t="s">
        <v>598</v>
      </c>
      <c r="G35" s="219">
        <v>20</v>
      </c>
      <c r="H35" s="12">
        <f t="shared" si="1"/>
        <v>135772.15742924195</v>
      </c>
      <c r="I35" s="8">
        <f>IF(D35="Owned",0,#REF!)</f>
        <v>0</v>
      </c>
    </row>
    <row r="36" spans="2:9" ht="9.75" outlineLevel="1">
      <c r="B36" s="6">
        <v>2016</v>
      </c>
      <c r="C36" s="1" t="s">
        <v>702</v>
      </c>
      <c r="D36" s="222" t="s">
        <v>683</v>
      </c>
      <c r="E36" s="11">
        <v>513485.3604462039</v>
      </c>
      <c r="F36" s="222" t="s">
        <v>597</v>
      </c>
      <c r="G36" s="219">
        <v>20</v>
      </c>
      <c r="H36" s="12">
        <f t="shared" si="1"/>
        <v>79008.31390276422</v>
      </c>
      <c r="I36" s="8">
        <f>IF(D36="Owned",0,#REF!)</f>
        <v>0</v>
      </c>
    </row>
    <row r="37" spans="2:9" ht="9.75" outlineLevel="1">
      <c r="B37" s="6">
        <v>2017</v>
      </c>
      <c r="C37" s="1" t="s">
        <v>703</v>
      </c>
      <c r="D37" s="222" t="s">
        <v>683</v>
      </c>
      <c r="E37" s="11">
        <v>643678.3766315164</v>
      </c>
      <c r="F37" s="222" t="s">
        <v>597</v>
      </c>
      <c r="G37" s="219">
        <v>20</v>
      </c>
      <c r="H37" s="12">
        <f t="shared" si="1"/>
        <v>99040.68772113037</v>
      </c>
      <c r="I37" s="8">
        <f>IF(D37="Owned",0,#REF!)</f>
        <v>0</v>
      </c>
    </row>
    <row r="38" spans="2:9" ht="9.75" outlineLevel="1">
      <c r="B38" s="6">
        <v>2018</v>
      </c>
      <c r="C38" s="1" t="s">
        <v>704</v>
      </c>
      <c r="D38" s="222" t="s">
        <v>683</v>
      </c>
      <c r="E38" s="11">
        <v>9534.964066749406</v>
      </c>
      <c r="F38" s="222" t="s">
        <v>597</v>
      </c>
      <c r="G38" s="219">
        <v>28.764383561643836</v>
      </c>
      <c r="H38" s="12">
        <f t="shared" si="1"/>
        <v>1396.0048784095395</v>
      </c>
      <c r="I38" s="8">
        <f>IF(D38="Owned",0,#REF!)</f>
        <v>0</v>
      </c>
    </row>
    <row r="39" spans="2:9" ht="9.75" outlineLevel="1">
      <c r="B39" s="6">
        <v>2019</v>
      </c>
      <c r="C39" s="1" t="s">
        <v>705</v>
      </c>
      <c r="D39" s="222" t="s">
        <v>683</v>
      </c>
      <c r="E39" s="11">
        <v>750594.8398307661</v>
      </c>
      <c r="F39" s="222" t="s">
        <v>597</v>
      </c>
      <c r="G39" s="219">
        <v>28.764383561643836</v>
      </c>
      <c r="H39" s="12">
        <f t="shared" si="1"/>
        <v>109893.8654385508</v>
      </c>
      <c r="I39" s="8">
        <f>IF(D39="Owned",0,#REF!)</f>
        <v>0</v>
      </c>
    </row>
    <row r="40" spans="2:9" ht="9.75" outlineLevel="1">
      <c r="B40" s="6">
        <v>2020</v>
      </c>
      <c r="C40" s="1" t="s">
        <v>706</v>
      </c>
      <c r="D40" s="222" t="s">
        <v>683</v>
      </c>
      <c r="E40" s="11">
        <v>394462.5228818748</v>
      </c>
      <c r="F40" s="222" t="s">
        <v>731</v>
      </c>
      <c r="G40" s="219">
        <v>28.764383561643836</v>
      </c>
      <c r="H40" s="12">
        <f t="shared" si="1"/>
        <v>57752.87693145581</v>
      </c>
      <c r="I40" s="8">
        <f>IF(D40="Owned",0,#REF!)</f>
        <v>0</v>
      </c>
    </row>
    <row r="41" spans="2:9" ht="9.75" outlineLevel="1">
      <c r="B41" s="6">
        <v>2021</v>
      </c>
      <c r="C41" s="1" t="s">
        <v>707</v>
      </c>
      <c r="D41" s="222" t="s">
        <v>683</v>
      </c>
      <c r="E41" s="11">
        <v>3540125.228074997</v>
      </c>
      <c r="F41" s="222" t="s">
        <v>731</v>
      </c>
      <c r="G41" s="219">
        <v>10</v>
      </c>
      <c r="H41" s="12">
        <f t="shared" si="1"/>
        <v>687452.6322894284</v>
      </c>
      <c r="I41" s="8">
        <f>IF(D41="Owned",0,#REF!)</f>
        <v>0</v>
      </c>
    </row>
    <row r="42" spans="2:9" ht="9.75" outlineLevel="1">
      <c r="B42" s="6">
        <v>2022</v>
      </c>
      <c r="C42" s="1" t="s">
        <v>708</v>
      </c>
      <c r="D42" s="222" t="s">
        <v>683</v>
      </c>
      <c r="E42" s="11">
        <v>2249112.472945446</v>
      </c>
      <c r="F42" s="222" t="s">
        <v>731</v>
      </c>
      <c r="G42" s="219">
        <v>28.764383561643836</v>
      </c>
      <c r="H42" s="12">
        <f t="shared" si="1"/>
        <v>329290.3845618766</v>
      </c>
      <c r="I42" s="8">
        <f>IF(D42="Owned",0,#REF!)</f>
        <v>0</v>
      </c>
    </row>
    <row r="43" spans="2:9" ht="9.75" outlineLevel="1">
      <c r="B43" s="6">
        <v>2023</v>
      </c>
      <c r="C43" s="1" t="s">
        <v>709</v>
      </c>
      <c r="D43" s="222" t="s">
        <v>683</v>
      </c>
      <c r="E43" s="11">
        <v>226781.43938435864</v>
      </c>
      <c r="F43" s="222" t="s">
        <v>731</v>
      </c>
      <c r="G43" s="219">
        <v>28.764383561643836</v>
      </c>
      <c r="H43" s="12">
        <f t="shared" si="1"/>
        <v>33202.85147348551</v>
      </c>
      <c r="I43" s="8">
        <f>IF(D43="Owned",0,#REF!)</f>
        <v>0</v>
      </c>
    </row>
    <row r="44" spans="2:9" ht="9.75" outlineLevel="1">
      <c r="B44" s="6">
        <v>2024</v>
      </c>
      <c r="C44" s="1" t="s">
        <v>710</v>
      </c>
      <c r="D44" s="222" t="s">
        <v>683</v>
      </c>
      <c r="E44" s="11">
        <v>33748.856992596266</v>
      </c>
      <c r="F44" s="222" t="s">
        <v>597</v>
      </c>
      <c r="G44" s="219">
        <v>28.764383561643836</v>
      </c>
      <c r="H44" s="12">
        <f t="shared" si="1"/>
        <v>4941.137551499124</v>
      </c>
      <c r="I44" s="8">
        <f>IF(D44="Owned",0,#REF!)</f>
        <v>0</v>
      </c>
    </row>
    <row r="45" spans="2:9" ht="9.75" outlineLevel="1">
      <c r="B45" s="6">
        <v>305</v>
      </c>
      <c r="C45" s="1" t="s">
        <v>711</v>
      </c>
      <c r="D45" s="222" t="s">
        <v>683</v>
      </c>
      <c r="E45" s="11">
        <v>396162.501030931</v>
      </c>
      <c r="F45" s="222" t="s">
        <v>731</v>
      </c>
      <c r="G45" s="219">
        <v>28.764383561643836</v>
      </c>
      <c r="H45" s="12">
        <f t="shared" si="1"/>
        <v>58001.769090110916</v>
      </c>
      <c r="I45" s="8">
        <f>IF(D45="Owned",0,#REF!)</f>
        <v>0</v>
      </c>
    </row>
    <row r="46" spans="2:9" ht="9.75" outlineLevel="1">
      <c r="B46" s="6">
        <v>308</v>
      </c>
      <c r="C46" s="1" t="s">
        <v>16</v>
      </c>
      <c r="D46" s="222" t="s">
        <v>683</v>
      </c>
      <c r="E46" s="11">
        <v>19447.671626609867</v>
      </c>
      <c r="F46" s="222" t="s">
        <v>731</v>
      </c>
      <c r="G46" s="219">
        <v>28.764383561643836</v>
      </c>
      <c r="H46" s="12">
        <f t="shared" si="1"/>
        <v>2847.31481675207</v>
      </c>
      <c r="I46" s="8">
        <f>IF(D46="Owned",0,#REF!)</f>
        <v>0</v>
      </c>
    </row>
    <row r="47" spans="2:9" ht="9.75" outlineLevel="1">
      <c r="B47" s="6">
        <v>309</v>
      </c>
      <c r="C47" s="1" t="s">
        <v>17</v>
      </c>
      <c r="D47" s="222" t="s">
        <v>683</v>
      </c>
      <c r="E47" s="11">
        <v>53170.79481063043</v>
      </c>
      <c r="F47" s="222" t="s">
        <v>731</v>
      </c>
      <c r="G47" s="219">
        <v>28.764383561643836</v>
      </c>
      <c r="H47" s="12">
        <f t="shared" si="1"/>
        <v>7784.684706196021</v>
      </c>
      <c r="I47" s="8">
        <f>IF(D47="Owned",0,#REF!)</f>
        <v>0</v>
      </c>
    </row>
    <row r="48" spans="2:9" ht="9.75" outlineLevel="1">
      <c r="B48" s="6">
        <v>310</v>
      </c>
      <c r="C48" s="1" t="s">
        <v>18</v>
      </c>
      <c r="D48" s="222" t="s">
        <v>683</v>
      </c>
      <c r="E48" s="11">
        <v>41390.41027258865</v>
      </c>
      <c r="F48" s="222" t="s">
        <v>731</v>
      </c>
      <c r="G48" s="219">
        <v>28.764383561643836</v>
      </c>
      <c r="H48" s="12">
        <f t="shared" si="1"/>
        <v>6059.929985620223</v>
      </c>
      <c r="I48" s="8">
        <f>IF(D48="Owned",0,#REF!)</f>
        <v>0</v>
      </c>
    </row>
    <row r="49" spans="2:9" ht="9.75" outlineLevel="1">
      <c r="B49" s="6" t="s">
        <v>84</v>
      </c>
      <c r="C49" s="1" t="s">
        <v>736</v>
      </c>
      <c r="D49" s="222" t="s">
        <v>683</v>
      </c>
      <c r="E49" s="8">
        <v>937749.0957981853</v>
      </c>
      <c r="F49" s="222" t="s">
        <v>731</v>
      </c>
      <c r="G49" s="219">
        <v>5</v>
      </c>
      <c r="H49" s="12">
        <f t="shared" si="1"/>
        <v>275320.51024488016</v>
      </c>
      <c r="I49" s="8"/>
    </row>
    <row r="50" spans="2:9" ht="9.75" outlineLevel="1">
      <c r="B50" s="6">
        <v>373</v>
      </c>
      <c r="C50" s="1" t="s">
        <v>19</v>
      </c>
      <c r="D50" s="222" t="s">
        <v>683</v>
      </c>
      <c r="E50" s="11">
        <v>446915.6315416056</v>
      </c>
      <c r="F50" s="222" t="s">
        <v>731</v>
      </c>
      <c r="G50" s="219">
        <v>28.764383561643836</v>
      </c>
      <c r="H50" s="12">
        <f t="shared" si="1"/>
        <v>65432.48590157048</v>
      </c>
      <c r="I50" s="8">
        <f>IF(D50="Owned",0,#REF!)</f>
        <v>0</v>
      </c>
    </row>
    <row r="51" spans="2:9" ht="9.75" outlineLevel="1">
      <c r="B51" s="6">
        <v>1535</v>
      </c>
      <c r="C51" s="1" t="s">
        <v>20</v>
      </c>
      <c r="D51" s="222" t="s">
        <v>683</v>
      </c>
      <c r="E51" s="11">
        <v>117058.69853300585</v>
      </c>
      <c r="F51" s="222" t="s">
        <v>731</v>
      </c>
      <c r="G51" s="219">
        <v>28.764383561643836</v>
      </c>
      <c r="H51" s="12">
        <f t="shared" si="1"/>
        <v>17138.450975626794</v>
      </c>
      <c r="I51" s="8">
        <f>IF(D51="Owned",0,#REF!)</f>
        <v>0</v>
      </c>
    </row>
    <row r="52" spans="2:9" ht="9.75" outlineLevel="1">
      <c r="B52" s="6">
        <v>1573</v>
      </c>
      <c r="C52" s="1" t="s">
        <v>21</v>
      </c>
      <c r="D52" s="222" t="s">
        <v>683</v>
      </c>
      <c r="E52" s="11">
        <v>3541075.260111395</v>
      </c>
      <c r="F52" s="222" t="s">
        <v>731</v>
      </c>
      <c r="G52" s="219">
        <v>28.764383561643836</v>
      </c>
      <c r="H52" s="12">
        <f t="shared" si="1"/>
        <v>518445.4082181027</v>
      </c>
      <c r="I52" s="8">
        <f>IF(D52="Owned",0,#REF!)</f>
        <v>0</v>
      </c>
    </row>
    <row r="53" spans="2:9" ht="9.75" outlineLevel="1">
      <c r="B53" s="6">
        <v>1705</v>
      </c>
      <c r="C53" s="1" t="s">
        <v>22</v>
      </c>
      <c r="D53" s="222" t="s">
        <v>683</v>
      </c>
      <c r="E53" s="11">
        <v>512191.5299</v>
      </c>
      <c r="F53" s="222" t="s">
        <v>598</v>
      </c>
      <c r="G53" s="219">
        <v>28.764383561643836</v>
      </c>
      <c r="H53" s="12">
        <f t="shared" si="1"/>
        <v>74989.46712488303</v>
      </c>
      <c r="I53" s="8">
        <f>IF(D53="Owned",0,#REF!)</f>
        <v>0</v>
      </c>
    </row>
    <row r="54" spans="2:9" ht="9.75" outlineLevel="1">
      <c r="B54" s="6">
        <v>1715</v>
      </c>
      <c r="C54" s="1" t="s">
        <v>23</v>
      </c>
      <c r="D54" s="222" t="s">
        <v>683</v>
      </c>
      <c r="E54" s="11">
        <v>842.2233760159751</v>
      </c>
      <c r="F54" s="222" t="s">
        <v>731</v>
      </c>
      <c r="G54" s="219">
        <v>28.764383561643836</v>
      </c>
      <c r="H54" s="12">
        <f t="shared" si="1"/>
        <v>123.30911090991462</v>
      </c>
      <c r="I54" s="8">
        <f>IF(D54="Owned",0,#REF!)</f>
        <v>0</v>
      </c>
    </row>
    <row r="55" spans="2:9" ht="9.75" outlineLevel="1">
      <c r="B55" s="6" t="s">
        <v>756</v>
      </c>
      <c r="C55" s="1" t="s">
        <v>755</v>
      </c>
      <c r="D55" s="222" t="s">
        <v>683</v>
      </c>
      <c r="E55" s="11">
        <v>30949257.808803413</v>
      </c>
      <c r="F55" s="222" t="s">
        <v>731</v>
      </c>
      <c r="G55" s="219">
        <v>29</v>
      </c>
      <c r="H55" s="12">
        <f t="shared" si="1"/>
        <v>4528199.404851076</v>
      </c>
      <c r="I55" s="8"/>
    </row>
    <row r="56" ht="9.75">
      <c r="K56" s="35"/>
    </row>
    <row r="57" spans="8:21" ht="13.5" customHeight="1">
      <c r="H57" s="195">
        <f>SUM(railannuity)</f>
        <v>165901420.4367256</v>
      </c>
      <c r="I57" s="195">
        <f>SUM(raillease)</f>
        <v>0</v>
      </c>
      <c r="K57" s="35"/>
      <c r="T57" s="142"/>
      <c r="U57" s="142"/>
    </row>
    <row r="58" ht="9.75">
      <c r="K58" s="35"/>
    </row>
    <row r="60" spans="8:9" ht="9.75">
      <c r="H60" s="4"/>
      <c r="I60" s="4"/>
    </row>
  </sheetData>
  <sheetProtection/>
  <dataValidations count="2">
    <dataValidation type="list" allowBlank="1" showInputMessage="1" showErrorMessage="1" sqref="F8:F55">
      <formula1>raillist</formula1>
    </dataValidation>
    <dataValidation type="list" allowBlank="1" showInputMessage="1" showErrorMessage="1" sqref="D8:D55">
      <formula1>"Owned,Leased"</formula1>
    </dataValidation>
  </dataValidations>
  <printOptions/>
  <pageMargins left="0.75" right="0.75" top="1" bottom="1" header="0.5" footer="0.5"/>
  <pageSetup horizontalDpi="600" verticalDpi="600" orientation="portrait" paperSize="9" r:id="rId1"/>
  <headerFooter alignWithMargins="0">
    <oddFooter>&amp;L&amp;F&amp;R&amp;P</oddFooter>
  </headerFooter>
</worksheet>
</file>

<file path=xl/worksheets/sheet11.xml><?xml version="1.0" encoding="utf-8"?>
<worksheet xmlns="http://schemas.openxmlformats.org/spreadsheetml/2006/main" xmlns:r="http://schemas.openxmlformats.org/officeDocument/2006/relationships">
  <sheetPr>
    <tabColor indexed="42"/>
    <pageSetUpPr fitToPage="1"/>
  </sheetPr>
  <dimension ref="A1:AB104"/>
  <sheetViews>
    <sheetView zoomScale="85" zoomScaleNormal="85" zoomScalePageLayoutView="0" workbookViewId="0" topLeftCell="A1">
      <selection activeCell="H34" sqref="H34"/>
    </sheetView>
  </sheetViews>
  <sheetFormatPr defaultColWidth="9.140625" defaultRowHeight="12.75"/>
  <cols>
    <col min="1" max="1" width="5.57421875" style="1" bestFit="1" customWidth="1"/>
    <col min="2" max="2" width="23.8515625" style="1" bestFit="1" customWidth="1"/>
    <col min="3" max="4" width="19.140625" style="1" bestFit="1" customWidth="1"/>
    <col min="5" max="5" width="16.140625" style="1" bestFit="1" customWidth="1"/>
    <col min="6" max="6" width="19.140625" style="1" bestFit="1" customWidth="1"/>
    <col min="7" max="7" width="13.140625" style="1" bestFit="1" customWidth="1"/>
    <col min="8" max="8" width="14.28125" style="1" bestFit="1" customWidth="1"/>
    <col min="9" max="9" width="23.8515625" style="1" bestFit="1" customWidth="1"/>
    <col min="10" max="10" width="14.28125" style="1" bestFit="1" customWidth="1"/>
    <col min="11" max="12" width="9.00390625" style="1" bestFit="1" customWidth="1"/>
    <col min="13" max="13" width="23.8515625" style="1" bestFit="1" customWidth="1"/>
    <col min="14" max="14" width="9.00390625" style="1" bestFit="1" customWidth="1"/>
    <col min="15" max="16" width="9.140625" style="1" customWidth="1"/>
    <col min="17" max="28" width="11.421875" style="1" customWidth="1"/>
    <col min="29" max="16384" width="9.140625" style="1" customWidth="1"/>
  </cols>
  <sheetData>
    <row r="1" ht="9.75">
      <c r="A1" s="1" t="str">
        <f>IF(SUM(C31:D31,J33,N33,C104:H104)&lt;&gt;0,"Error","All Ok")</f>
        <v>All Ok</v>
      </c>
    </row>
    <row r="2" spans="2:4" ht="12">
      <c r="B2" s="14" t="str">
        <f>modelname</f>
        <v>3rd Party Access Model</v>
      </c>
      <c r="D2" s="192" t="str">
        <f>HYPERLINK(Contents!$A$1,"Back to Contents Page")</f>
        <v>Back to Contents Page</v>
      </c>
    </row>
    <row r="3" spans="1:2" ht="11.25">
      <c r="A3" s="24"/>
      <c r="B3" s="190" t="s">
        <v>331</v>
      </c>
    </row>
    <row r="4" ht="10.5" thickBot="1">
      <c r="B4" s="171" t="str">
        <f>Contents!D75</f>
        <v>This sheet calculates all of the relevant allocations on assets and the application of asymmetric risk costs</v>
      </c>
    </row>
    <row r="5" spans="7:14" ht="10.5" thickBot="1">
      <c r="G5" s="238" t="s">
        <v>138</v>
      </c>
      <c r="H5" s="239"/>
      <c r="I5" s="239"/>
      <c r="J5" s="240"/>
      <c r="K5" s="238" t="s">
        <v>209</v>
      </c>
      <c r="L5" s="239"/>
      <c r="M5" s="239"/>
      <c r="N5" s="240"/>
    </row>
    <row r="6" spans="3:15" ht="61.5" thickBot="1">
      <c r="C6" s="28"/>
      <c r="E6" s="81" t="s">
        <v>139</v>
      </c>
      <c r="F6" s="82" t="s">
        <v>140</v>
      </c>
      <c r="G6" s="81" t="s">
        <v>146</v>
      </c>
      <c r="H6" s="82" t="s">
        <v>141</v>
      </c>
      <c r="I6" s="163" t="s">
        <v>142</v>
      </c>
      <c r="J6" s="87" t="s">
        <v>94</v>
      </c>
      <c r="K6" s="82" t="s">
        <v>146</v>
      </c>
      <c r="L6" s="82" t="s">
        <v>141</v>
      </c>
      <c r="M6" s="82" t="s">
        <v>142</v>
      </c>
      <c r="N6" s="87" t="s">
        <v>94</v>
      </c>
      <c r="O6" s="141"/>
    </row>
    <row r="7" spans="2:15" ht="13.5" customHeight="1" thickBot="1">
      <c r="B7" s="245" t="s">
        <v>86</v>
      </c>
      <c r="C7" s="246"/>
      <c r="D7" s="246"/>
      <c r="E7" s="34"/>
      <c r="F7" s="35"/>
      <c r="G7" s="34"/>
      <c r="H7" s="35"/>
      <c r="I7" s="36"/>
      <c r="J7" s="83"/>
      <c r="K7" s="35"/>
      <c r="L7" s="35"/>
      <c r="M7" s="35"/>
      <c r="N7" s="83"/>
      <c r="O7" s="133"/>
    </row>
    <row r="8" spans="2:15" ht="9.75">
      <c r="B8" s="69" t="str">
        <f>Data!C52</f>
        <v>All</v>
      </c>
      <c r="C8" s="73">
        <f aca="true" t="shared" si="0" ref="C8:C29">SUMIF(raillocale,B8,railannuity)</f>
        <v>11922390.603975799</v>
      </c>
      <c r="D8" s="78">
        <f aca="true" t="shared" si="1" ref="D8:D29">SUMIF(raillocale,C8,raillease)</f>
        <v>0</v>
      </c>
      <c r="E8" s="34"/>
      <c r="F8" s="35"/>
      <c r="G8" s="34"/>
      <c r="H8" s="35"/>
      <c r="I8" s="36"/>
      <c r="J8" s="83"/>
      <c r="K8" s="35"/>
      <c r="L8" s="35"/>
      <c r="M8" s="35"/>
      <c r="N8" s="83"/>
      <c r="O8" s="133"/>
    </row>
    <row r="9" spans="2:15" ht="9.75">
      <c r="B9" s="70" t="str">
        <f>Data!C53</f>
        <v>Equal Split</v>
      </c>
      <c r="C9" s="43">
        <f t="shared" si="0"/>
        <v>131054021.62574902</v>
      </c>
      <c r="D9" s="26">
        <f t="shared" si="1"/>
        <v>0</v>
      </c>
      <c r="E9" s="37"/>
      <c r="F9" s="33"/>
      <c r="G9" s="37"/>
      <c r="H9" s="29"/>
      <c r="I9" s="41"/>
      <c r="J9" s="84"/>
      <c r="K9" s="29"/>
      <c r="L9" s="29"/>
      <c r="M9" s="29"/>
      <c r="N9" s="84"/>
      <c r="O9" s="31"/>
    </row>
    <row r="10" spans="2:15" ht="9.75">
      <c r="B10" s="70" t="str">
        <f>rail1</f>
        <v>Cloudbreak to Port Dumper</v>
      </c>
      <c r="C10" s="43">
        <f t="shared" si="0"/>
        <v>22925008.20700078</v>
      </c>
      <c r="D10" s="26">
        <f t="shared" si="1"/>
        <v>0</v>
      </c>
      <c r="E10" s="37">
        <f aca="true" t="shared" si="2" ref="E10:E29">VLOOKUP($B10,raildata,3,FALSE)</f>
        <v>273534</v>
      </c>
      <c r="F10" s="33">
        <f aca="true" t="shared" si="3" ref="F10:F29">IF(VLOOKUP($B10,raildata,2,FALSE)="Yes",1,0)</f>
        <v>1</v>
      </c>
      <c r="G10" s="37">
        <f aca="true" t="shared" si="4" ref="G10:G29">$F10/$F$30*$C$8</f>
        <v>11922390.603975799</v>
      </c>
      <c r="H10" s="29">
        <f aca="true" t="shared" si="5" ref="H10:H29">$E10/$E$30*$C$9</f>
        <v>131054021.62574902</v>
      </c>
      <c r="I10" s="41">
        <f aca="true" t="shared" si="6" ref="I10:I28">C10</f>
        <v>22925008.20700078</v>
      </c>
      <c r="J10" s="84">
        <f aca="true" t="shared" si="7" ref="J10:J28">SUM(G10:I10)</f>
        <v>165901420.43672562</v>
      </c>
      <c r="K10" s="29">
        <f aca="true" t="shared" si="8" ref="K10:K29">$F10/$F$30*$D$8</f>
        <v>0</v>
      </c>
      <c r="L10" s="29">
        <f aca="true" t="shared" si="9" ref="L10:L29">$E10/$E$30*$D$9</f>
        <v>0</v>
      </c>
      <c r="M10" s="29">
        <f aca="true" t="shared" si="10" ref="M10:M29">D10</f>
        <v>0</v>
      </c>
      <c r="N10" s="84">
        <f aca="true" t="shared" si="11" ref="N10:N28">SUM(K10:M10)</f>
        <v>0</v>
      </c>
      <c r="O10" s="31"/>
    </row>
    <row r="11" spans="2:15" ht="9.75">
      <c r="B11" s="70" t="str">
        <f>rail2</f>
        <v>Route 2</v>
      </c>
      <c r="C11" s="43">
        <f t="shared" si="0"/>
        <v>0</v>
      </c>
      <c r="D11" s="26">
        <f t="shared" si="1"/>
        <v>0</v>
      </c>
      <c r="E11" s="37">
        <f t="shared" si="2"/>
        <v>0</v>
      </c>
      <c r="F11" s="33">
        <f t="shared" si="3"/>
        <v>0</v>
      </c>
      <c r="G11" s="37">
        <f t="shared" si="4"/>
        <v>0</v>
      </c>
      <c r="H11" s="29">
        <f t="shared" si="5"/>
        <v>0</v>
      </c>
      <c r="I11" s="41">
        <f t="shared" si="6"/>
        <v>0</v>
      </c>
      <c r="J11" s="84">
        <f t="shared" si="7"/>
        <v>0</v>
      </c>
      <c r="K11" s="29">
        <f t="shared" si="8"/>
        <v>0</v>
      </c>
      <c r="L11" s="29">
        <f t="shared" si="9"/>
        <v>0</v>
      </c>
      <c r="M11" s="29">
        <f t="shared" si="10"/>
        <v>0</v>
      </c>
      <c r="N11" s="84">
        <f t="shared" si="11"/>
        <v>0</v>
      </c>
      <c r="O11" s="31"/>
    </row>
    <row r="12" spans="2:15" ht="9.75">
      <c r="B12" s="70" t="str">
        <f>rail3</f>
        <v>Route 3</v>
      </c>
      <c r="C12" s="43">
        <f t="shared" si="0"/>
        <v>0</v>
      </c>
      <c r="D12" s="26">
        <f t="shared" si="1"/>
        <v>0</v>
      </c>
      <c r="E12" s="37">
        <f t="shared" si="2"/>
        <v>0</v>
      </c>
      <c r="F12" s="33">
        <f t="shared" si="3"/>
        <v>0</v>
      </c>
      <c r="G12" s="37">
        <f t="shared" si="4"/>
        <v>0</v>
      </c>
      <c r="H12" s="29">
        <f t="shared" si="5"/>
        <v>0</v>
      </c>
      <c r="I12" s="41">
        <f t="shared" si="6"/>
        <v>0</v>
      </c>
      <c r="J12" s="84">
        <f t="shared" si="7"/>
        <v>0</v>
      </c>
      <c r="K12" s="29">
        <f t="shared" si="8"/>
        <v>0</v>
      </c>
      <c r="L12" s="29">
        <f t="shared" si="9"/>
        <v>0</v>
      </c>
      <c r="M12" s="29">
        <f t="shared" si="10"/>
        <v>0</v>
      </c>
      <c r="N12" s="84">
        <f t="shared" si="11"/>
        <v>0</v>
      </c>
      <c r="O12" s="31"/>
    </row>
    <row r="13" spans="2:15" ht="9.75">
      <c r="B13" s="70" t="str">
        <f>rail4</f>
        <v>Route 4</v>
      </c>
      <c r="C13" s="43">
        <f t="shared" si="0"/>
        <v>0</v>
      </c>
      <c r="D13" s="26">
        <f t="shared" si="1"/>
        <v>0</v>
      </c>
      <c r="E13" s="37">
        <f t="shared" si="2"/>
        <v>0</v>
      </c>
      <c r="F13" s="33">
        <f t="shared" si="3"/>
        <v>0</v>
      </c>
      <c r="G13" s="37">
        <f t="shared" si="4"/>
        <v>0</v>
      </c>
      <c r="H13" s="29">
        <f t="shared" si="5"/>
        <v>0</v>
      </c>
      <c r="I13" s="41">
        <f t="shared" si="6"/>
        <v>0</v>
      </c>
      <c r="J13" s="84">
        <f t="shared" si="7"/>
        <v>0</v>
      </c>
      <c r="K13" s="29">
        <f t="shared" si="8"/>
        <v>0</v>
      </c>
      <c r="L13" s="29">
        <f t="shared" si="9"/>
        <v>0</v>
      </c>
      <c r="M13" s="29">
        <f t="shared" si="10"/>
        <v>0</v>
      </c>
      <c r="N13" s="84">
        <f t="shared" si="11"/>
        <v>0</v>
      </c>
      <c r="O13" s="31"/>
    </row>
    <row r="14" spans="2:15" ht="9.75">
      <c r="B14" s="70" t="str">
        <f>rail5</f>
        <v>Route 5</v>
      </c>
      <c r="C14" s="43">
        <f t="shared" si="0"/>
        <v>0</v>
      </c>
      <c r="D14" s="26">
        <f t="shared" si="1"/>
        <v>0</v>
      </c>
      <c r="E14" s="37">
        <f t="shared" si="2"/>
        <v>0</v>
      </c>
      <c r="F14" s="33">
        <f t="shared" si="3"/>
        <v>0</v>
      </c>
      <c r="G14" s="37">
        <f t="shared" si="4"/>
        <v>0</v>
      </c>
      <c r="H14" s="29">
        <f t="shared" si="5"/>
        <v>0</v>
      </c>
      <c r="I14" s="41">
        <f t="shared" si="6"/>
        <v>0</v>
      </c>
      <c r="J14" s="84">
        <f t="shared" si="7"/>
        <v>0</v>
      </c>
      <c r="K14" s="29">
        <f t="shared" si="8"/>
        <v>0</v>
      </c>
      <c r="L14" s="29">
        <f t="shared" si="9"/>
        <v>0</v>
      </c>
      <c r="M14" s="29">
        <f t="shared" si="10"/>
        <v>0</v>
      </c>
      <c r="N14" s="84">
        <f t="shared" si="11"/>
        <v>0</v>
      </c>
      <c r="O14" s="31"/>
    </row>
    <row r="15" spans="2:15" ht="9.75">
      <c r="B15" s="70" t="str">
        <f>rail6</f>
        <v>Route 6</v>
      </c>
      <c r="C15" s="43">
        <f t="shared" si="0"/>
        <v>0</v>
      </c>
      <c r="D15" s="26">
        <f t="shared" si="1"/>
        <v>0</v>
      </c>
      <c r="E15" s="37">
        <f t="shared" si="2"/>
        <v>0</v>
      </c>
      <c r="F15" s="33">
        <f t="shared" si="3"/>
        <v>0</v>
      </c>
      <c r="G15" s="37">
        <f t="shared" si="4"/>
        <v>0</v>
      </c>
      <c r="H15" s="29">
        <f t="shared" si="5"/>
        <v>0</v>
      </c>
      <c r="I15" s="41">
        <f t="shared" si="6"/>
        <v>0</v>
      </c>
      <c r="J15" s="84">
        <f t="shared" si="7"/>
        <v>0</v>
      </c>
      <c r="K15" s="29">
        <f t="shared" si="8"/>
        <v>0</v>
      </c>
      <c r="L15" s="29">
        <f t="shared" si="9"/>
        <v>0</v>
      </c>
      <c r="M15" s="29">
        <f t="shared" si="10"/>
        <v>0</v>
      </c>
      <c r="N15" s="84">
        <f t="shared" si="11"/>
        <v>0</v>
      </c>
      <c r="O15" s="31"/>
    </row>
    <row r="16" spans="2:15" ht="9.75">
      <c r="B16" s="70" t="str">
        <f>rail7</f>
        <v>Route 7</v>
      </c>
      <c r="C16" s="43">
        <f t="shared" si="0"/>
        <v>0</v>
      </c>
      <c r="D16" s="26">
        <f t="shared" si="1"/>
        <v>0</v>
      </c>
      <c r="E16" s="37">
        <f t="shared" si="2"/>
        <v>0</v>
      </c>
      <c r="F16" s="33">
        <f t="shared" si="3"/>
        <v>0</v>
      </c>
      <c r="G16" s="37">
        <f t="shared" si="4"/>
        <v>0</v>
      </c>
      <c r="H16" s="29">
        <f t="shared" si="5"/>
        <v>0</v>
      </c>
      <c r="I16" s="41">
        <f t="shared" si="6"/>
        <v>0</v>
      </c>
      <c r="J16" s="84">
        <f t="shared" si="7"/>
        <v>0</v>
      </c>
      <c r="K16" s="29">
        <f t="shared" si="8"/>
        <v>0</v>
      </c>
      <c r="L16" s="29">
        <f t="shared" si="9"/>
        <v>0</v>
      </c>
      <c r="M16" s="29">
        <f t="shared" si="10"/>
        <v>0</v>
      </c>
      <c r="N16" s="84">
        <f t="shared" si="11"/>
        <v>0</v>
      </c>
      <c r="O16" s="31"/>
    </row>
    <row r="17" spans="2:15" ht="9.75">
      <c r="B17" s="70" t="str">
        <f>rail8</f>
        <v>Route 8</v>
      </c>
      <c r="C17" s="43">
        <f t="shared" si="0"/>
        <v>0</v>
      </c>
      <c r="D17" s="26">
        <f t="shared" si="1"/>
        <v>0</v>
      </c>
      <c r="E17" s="37">
        <f t="shared" si="2"/>
        <v>0</v>
      </c>
      <c r="F17" s="33">
        <f t="shared" si="3"/>
        <v>0</v>
      </c>
      <c r="G17" s="37">
        <f t="shared" si="4"/>
        <v>0</v>
      </c>
      <c r="H17" s="29">
        <f t="shared" si="5"/>
        <v>0</v>
      </c>
      <c r="I17" s="41">
        <f t="shared" si="6"/>
        <v>0</v>
      </c>
      <c r="J17" s="84">
        <f t="shared" si="7"/>
        <v>0</v>
      </c>
      <c r="K17" s="29">
        <f t="shared" si="8"/>
        <v>0</v>
      </c>
      <c r="L17" s="29">
        <f t="shared" si="9"/>
        <v>0</v>
      </c>
      <c r="M17" s="29">
        <f t="shared" si="10"/>
        <v>0</v>
      </c>
      <c r="N17" s="84">
        <f t="shared" si="11"/>
        <v>0</v>
      </c>
      <c r="O17" s="31"/>
    </row>
    <row r="18" spans="2:15" ht="9.75">
      <c r="B18" s="70" t="str">
        <f>rail9</f>
        <v>Route 9</v>
      </c>
      <c r="C18" s="43">
        <f t="shared" si="0"/>
        <v>0</v>
      </c>
      <c r="D18" s="26">
        <f t="shared" si="1"/>
        <v>0</v>
      </c>
      <c r="E18" s="37">
        <f t="shared" si="2"/>
        <v>0</v>
      </c>
      <c r="F18" s="33">
        <f t="shared" si="3"/>
        <v>0</v>
      </c>
      <c r="G18" s="37">
        <f t="shared" si="4"/>
        <v>0</v>
      </c>
      <c r="H18" s="29">
        <f t="shared" si="5"/>
        <v>0</v>
      </c>
      <c r="I18" s="41">
        <f t="shared" si="6"/>
        <v>0</v>
      </c>
      <c r="J18" s="84">
        <f t="shared" si="7"/>
        <v>0</v>
      </c>
      <c r="K18" s="29">
        <f t="shared" si="8"/>
        <v>0</v>
      </c>
      <c r="L18" s="29">
        <f t="shared" si="9"/>
        <v>0</v>
      </c>
      <c r="M18" s="29">
        <f t="shared" si="10"/>
        <v>0</v>
      </c>
      <c r="N18" s="84">
        <f t="shared" si="11"/>
        <v>0</v>
      </c>
      <c r="O18" s="31"/>
    </row>
    <row r="19" spans="2:15" ht="9.75">
      <c r="B19" s="70" t="str">
        <f>rail10</f>
        <v>Route 10</v>
      </c>
      <c r="C19" s="43">
        <f t="shared" si="0"/>
        <v>0</v>
      </c>
      <c r="D19" s="26">
        <f t="shared" si="1"/>
        <v>0</v>
      </c>
      <c r="E19" s="37">
        <f t="shared" si="2"/>
        <v>0</v>
      </c>
      <c r="F19" s="33">
        <f t="shared" si="3"/>
        <v>0</v>
      </c>
      <c r="G19" s="37">
        <f t="shared" si="4"/>
        <v>0</v>
      </c>
      <c r="H19" s="29">
        <f t="shared" si="5"/>
        <v>0</v>
      </c>
      <c r="I19" s="41">
        <f t="shared" si="6"/>
        <v>0</v>
      </c>
      <c r="J19" s="84">
        <f t="shared" si="7"/>
        <v>0</v>
      </c>
      <c r="K19" s="29">
        <f t="shared" si="8"/>
        <v>0</v>
      </c>
      <c r="L19" s="29">
        <f t="shared" si="9"/>
        <v>0</v>
      </c>
      <c r="M19" s="29">
        <f t="shared" si="10"/>
        <v>0</v>
      </c>
      <c r="N19" s="84">
        <f t="shared" si="11"/>
        <v>0</v>
      </c>
      <c r="O19" s="31"/>
    </row>
    <row r="20" spans="2:15" ht="9.75">
      <c r="B20" s="70" t="str">
        <f>rail11</f>
        <v>Route 11</v>
      </c>
      <c r="C20" s="43">
        <f t="shared" si="0"/>
        <v>0</v>
      </c>
      <c r="D20" s="26">
        <f t="shared" si="1"/>
        <v>0</v>
      </c>
      <c r="E20" s="37">
        <f t="shared" si="2"/>
        <v>0</v>
      </c>
      <c r="F20" s="33">
        <f t="shared" si="3"/>
        <v>0</v>
      </c>
      <c r="G20" s="37">
        <f t="shared" si="4"/>
        <v>0</v>
      </c>
      <c r="H20" s="29">
        <f t="shared" si="5"/>
        <v>0</v>
      </c>
      <c r="I20" s="41">
        <f t="shared" si="6"/>
        <v>0</v>
      </c>
      <c r="J20" s="84">
        <f t="shared" si="7"/>
        <v>0</v>
      </c>
      <c r="K20" s="29">
        <f t="shared" si="8"/>
        <v>0</v>
      </c>
      <c r="L20" s="29">
        <f t="shared" si="9"/>
        <v>0</v>
      </c>
      <c r="M20" s="29">
        <f t="shared" si="10"/>
        <v>0</v>
      </c>
      <c r="N20" s="84">
        <f t="shared" si="11"/>
        <v>0</v>
      </c>
      <c r="O20" s="31"/>
    </row>
    <row r="21" spans="2:15" ht="9.75">
      <c r="B21" s="70" t="str">
        <f>rail12</f>
        <v>Route 12</v>
      </c>
      <c r="C21" s="43">
        <f t="shared" si="0"/>
        <v>0</v>
      </c>
      <c r="D21" s="26">
        <f t="shared" si="1"/>
        <v>0</v>
      </c>
      <c r="E21" s="37">
        <f t="shared" si="2"/>
        <v>0</v>
      </c>
      <c r="F21" s="33">
        <f t="shared" si="3"/>
        <v>0</v>
      </c>
      <c r="G21" s="37">
        <f t="shared" si="4"/>
        <v>0</v>
      </c>
      <c r="H21" s="29">
        <f t="shared" si="5"/>
        <v>0</v>
      </c>
      <c r="I21" s="41">
        <f t="shared" si="6"/>
        <v>0</v>
      </c>
      <c r="J21" s="84">
        <f t="shared" si="7"/>
        <v>0</v>
      </c>
      <c r="K21" s="29">
        <f t="shared" si="8"/>
        <v>0</v>
      </c>
      <c r="L21" s="29">
        <f t="shared" si="9"/>
        <v>0</v>
      </c>
      <c r="M21" s="29">
        <f t="shared" si="10"/>
        <v>0</v>
      </c>
      <c r="N21" s="84">
        <f t="shared" si="11"/>
        <v>0</v>
      </c>
      <c r="O21" s="31"/>
    </row>
    <row r="22" spans="2:15" ht="9.75">
      <c r="B22" s="70" t="str">
        <f>rail13</f>
        <v>Route 13</v>
      </c>
      <c r="C22" s="43">
        <f t="shared" si="0"/>
        <v>0</v>
      </c>
      <c r="D22" s="26">
        <f t="shared" si="1"/>
        <v>0</v>
      </c>
      <c r="E22" s="37">
        <f t="shared" si="2"/>
        <v>0</v>
      </c>
      <c r="F22" s="33">
        <f t="shared" si="3"/>
        <v>0</v>
      </c>
      <c r="G22" s="37">
        <f t="shared" si="4"/>
        <v>0</v>
      </c>
      <c r="H22" s="29">
        <f t="shared" si="5"/>
        <v>0</v>
      </c>
      <c r="I22" s="41">
        <f t="shared" si="6"/>
        <v>0</v>
      </c>
      <c r="J22" s="84">
        <f t="shared" si="7"/>
        <v>0</v>
      </c>
      <c r="K22" s="29">
        <f t="shared" si="8"/>
        <v>0</v>
      </c>
      <c r="L22" s="29">
        <f t="shared" si="9"/>
        <v>0</v>
      </c>
      <c r="M22" s="29">
        <f t="shared" si="10"/>
        <v>0</v>
      </c>
      <c r="N22" s="84">
        <f t="shared" si="11"/>
        <v>0</v>
      </c>
      <c r="O22" s="31"/>
    </row>
    <row r="23" spans="2:15" ht="9.75">
      <c r="B23" s="70" t="str">
        <f>rail14</f>
        <v>Route 14</v>
      </c>
      <c r="C23" s="43">
        <f t="shared" si="0"/>
        <v>0</v>
      </c>
      <c r="D23" s="26">
        <f t="shared" si="1"/>
        <v>0</v>
      </c>
      <c r="E23" s="37">
        <f t="shared" si="2"/>
        <v>0</v>
      </c>
      <c r="F23" s="33">
        <f t="shared" si="3"/>
        <v>0</v>
      </c>
      <c r="G23" s="37">
        <f t="shared" si="4"/>
        <v>0</v>
      </c>
      <c r="H23" s="29">
        <f t="shared" si="5"/>
        <v>0</v>
      </c>
      <c r="I23" s="41">
        <f t="shared" si="6"/>
        <v>0</v>
      </c>
      <c r="J23" s="84">
        <f t="shared" si="7"/>
        <v>0</v>
      </c>
      <c r="K23" s="29">
        <f t="shared" si="8"/>
        <v>0</v>
      </c>
      <c r="L23" s="29">
        <f t="shared" si="9"/>
        <v>0</v>
      </c>
      <c r="M23" s="29">
        <f t="shared" si="10"/>
        <v>0</v>
      </c>
      <c r="N23" s="84">
        <f t="shared" si="11"/>
        <v>0</v>
      </c>
      <c r="O23" s="31"/>
    </row>
    <row r="24" spans="2:15" ht="9.75">
      <c r="B24" s="70" t="str">
        <f>rail15</f>
        <v>Route 15</v>
      </c>
      <c r="C24" s="43">
        <f t="shared" si="0"/>
        <v>0</v>
      </c>
      <c r="D24" s="26">
        <f t="shared" si="1"/>
        <v>0</v>
      </c>
      <c r="E24" s="37">
        <f t="shared" si="2"/>
        <v>0</v>
      </c>
      <c r="F24" s="33">
        <f t="shared" si="3"/>
        <v>0</v>
      </c>
      <c r="G24" s="37">
        <f t="shared" si="4"/>
        <v>0</v>
      </c>
      <c r="H24" s="29">
        <f t="shared" si="5"/>
        <v>0</v>
      </c>
      <c r="I24" s="41">
        <f t="shared" si="6"/>
        <v>0</v>
      </c>
      <c r="J24" s="84">
        <f t="shared" si="7"/>
        <v>0</v>
      </c>
      <c r="K24" s="29">
        <f t="shared" si="8"/>
        <v>0</v>
      </c>
      <c r="L24" s="29">
        <f t="shared" si="9"/>
        <v>0</v>
      </c>
      <c r="M24" s="29">
        <f t="shared" si="10"/>
        <v>0</v>
      </c>
      <c r="N24" s="84">
        <f t="shared" si="11"/>
        <v>0</v>
      </c>
      <c r="O24" s="31"/>
    </row>
    <row r="25" spans="2:15" ht="9.75">
      <c r="B25" s="70" t="str">
        <f>rail16</f>
        <v>Route 16</v>
      </c>
      <c r="C25" s="43">
        <f t="shared" si="0"/>
        <v>0</v>
      </c>
      <c r="D25" s="26">
        <f t="shared" si="1"/>
        <v>0</v>
      </c>
      <c r="E25" s="37">
        <f t="shared" si="2"/>
        <v>0</v>
      </c>
      <c r="F25" s="33">
        <f t="shared" si="3"/>
        <v>0</v>
      </c>
      <c r="G25" s="37">
        <f t="shared" si="4"/>
        <v>0</v>
      </c>
      <c r="H25" s="29">
        <f t="shared" si="5"/>
        <v>0</v>
      </c>
      <c r="I25" s="41">
        <f t="shared" si="6"/>
        <v>0</v>
      </c>
      <c r="J25" s="84">
        <f t="shared" si="7"/>
        <v>0</v>
      </c>
      <c r="K25" s="29">
        <f t="shared" si="8"/>
        <v>0</v>
      </c>
      <c r="L25" s="29">
        <f t="shared" si="9"/>
        <v>0</v>
      </c>
      <c r="M25" s="29">
        <f t="shared" si="10"/>
        <v>0</v>
      </c>
      <c r="N25" s="84">
        <f t="shared" si="11"/>
        <v>0</v>
      </c>
      <c r="O25" s="31"/>
    </row>
    <row r="26" spans="2:15" ht="9.75">
      <c r="B26" s="70" t="str">
        <f>rail17</f>
        <v>Route 17</v>
      </c>
      <c r="C26" s="43">
        <f t="shared" si="0"/>
        <v>0</v>
      </c>
      <c r="D26" s="26">
        <f t="shared" si="1"/>
        <v>0</v>
      </c>
      <c r="E26" s="37">
        <f t="shared" si="2"/>
        <v>0</v>
      </c>
      <c r="F26" s="33">
        <f t="shared" si="3"/>
        <v>0</v>
      </c>
      <c r="G26" s="37">
        <f t="shared" si="4"/>
        <v>0</v>
      </c>
      <c r="H26" s="29">
        <f t="shared" si="5"/>
        <v>0</v>
      </c>
      <c r="I26" s="41">
        <f t="shared" si="6"/>
        <v>0</v>
      </c>
      <c r="J26" s="84">
        <f t="shared" si="7"/>
        <v>0</v>
      </c>
      <c r="K26" s="29">
        <f t="shared" si="8"/>
        <v>0</v>
      </c>
      <c r="L26" s="29">
        <f t="shared" si="9"/>
        <v>0</v>
      </c>
      <c r="M26" s="29">
        <f t="shared" si="10"/>
        <v>0</v>
      </c>
      <c r="N26" s="84">
        <f t="shared" si="11"/>
        <v>0</v>
      </c>
      <c r="O26" s="31"/>
    </row>
    <row r="27" spans="2:15" ht="9.75">
      <c r="B27" s="70" t="str">
        <f>rail18</f>
        <v>Route 18</v>
      </c>
      <c r="C27" s="43">
        <f t="shared" si="0"/>
        <v>0</v>
      </c>
      <c r="D27" s="26">
        <f t="shared" si="1"/>
        <v>0</v>
      </c>
      <c r="E27" s="37">
        <f t="shared" si="2"/>
        <v>0</v>
      </c>
      <c r="F27" s="33">
        <f t="shared" si="3"/>
        <v>0</v>
      </c>
      <c r="G27" s="37">
        <f t="shared" si="4"/>
        <v>0</v>
      </c>
      <c r="H27" s="29">
        <f t="shared" si="5"/>
        <v>0</v>
      </c>
      <c r="I27" s="41">
        <f t="shared" si="6"/>
        <v>0</v>
      </c>
      <c r="J27" s="84">
        <f t="shared" si="7"/>
        <v>0</v>
      </c>
      <c r="K27" s="29">
        <f t="shared" si="8"/>
        <v>0</v>
      </c>
      <c r="L27" s="29">
        <f t="shared" si="9"/>
        <v>0</v>
      </c>
      <c r="M27" s="29">
        <f t="shared" si="10"/>
        <v>0</v>
      </c>
      <c r="N27" s="84">
        <f t="shared" si="11"/>
        <v>0</v>
      </c>
      <c r="O27" s="31"/>
    </row>
    <row r="28" spans="2:15" ht="9.75">
      <c r="B28" s="70" t="str">
        <f>rail19</f>
        <v>Route 19</v>
      </c>
      <c r="C28" s="43">
        <f t="shared" si="0"/>
        <v>0</v>
      </c>
      <c r="D28" s="26">
        <f t="shared" si="1"/>
        <v>0</v>
      </c>
      <c r="E28" s="37">
        <f t="shared" si="2"/>
        <v>0</v>
      </c>
      <c r="F28" s="33">
        <f t="shared" si="3"/>
        <v>0</v>
      </c>
      <c r="G28" s="37">
        <f t="shared" si="4"/>
        <v>0</v>
      </c>
      <c r="H28" s="29">
        <f t="shared" si="5"/>
        <v>0</v>
      </c>
      <c r="I28" s="41">
        <f t="shared" si="6"/>
        <v>0</v>
      </c>
      <c r="J28" s="84">
        <f t="shared" si="7"/>
        <v>0</v>
      </c>
      <c r="K28" s="29">
        <f t="shared" si="8"/>
        <v>0</v>
      </c>
      <c r="L28" s="29">
        <f t="shared" si="9"/>
        <v>0</v>
      </c>
      <c r="M28" s="29">
        <f t="shared" si="10"/>
        <v>0</v>
      </c>
      <c r="N28" s="84">
        <f t="shared" si="11"/>
        <v>0</v>
      </c>
      <c r="O28" s="31"/>
    </row>
    <row r="29" spans="2:15" ht="10.5" thickBot="1">
      <c r="B29" s="71" t="str">
        <f>rail20</f>
        <v>Route 20</v>
      </c>
      <c r="C29" s="74">
        <f t="shared" si="0"/>
        <v>0</v>
      </c>
      <c r="D29" s="79">
        <f t="shared" si="1"/>
        <v>0</v>
      </c>
      <c r="E29" s="37">
        <f t="shared" si="2"/>
        <v>0</v>
      </c>
      <c r="F29" s="33">
        <f t="shared" si="3"/>
        <v>0</v>
      </c>
      <c r="G29" s="37">
        <f t="shared" si="4"/>
        <v>0</v>
      </c>
      <c r="H29" s="29">
        <f t="shared" si="5"/>
        <v>0</v>
      </c>
      <c r="I29" s="41"/>
      <c r="J29" s="84"/>
      <c r="K29" s="29">
        <f t="shared" si="8"/>
        <v>0</v>
      </c>
      <c r="L29" s="29">
        <f t="shared" si="9"/>
        <v>0</v>
      </c>
      <c r="M29" s="29">
        <f t="shared" si="10"/>
        <v>0</v>
      </c>
      <c r="N29" s="84"/>
      <c r="O29" s="31"/>
    </row>
    <row r="30" spans="2:15" ht="10.5" thickBot="1">
      <c r="B30" s="25"/>
      <c r="C30" s="72">
        <f>SUM(C8:C29)</f>
        <v>165901420.43672562</v>
      </c>
      <c r="D30" s="77">
        <f>SUM(D8:D29)</f>
        <v>0</v>
      </c>
      <c r="E30" s="88">
        <f>SUM(E8:E29)</f>
        <v>273534</v>
      </c>
      <c r="F30" s="51">
        <f>SUM(F8:F29)</f>
        <v>1</v>
      </c>
      <c r="G30" s="88">
        <f>SUM(G10:G29)</f>
        <v>11922390.603975799</v>
      </c>
      <c r="H30" s="80">
        <f>SUM(H10:H29)</f>
        <v>131054021.62574902</v>
      </c>
      <c r="I30" s="164">
        <f>SUM(I8:I29)</f>
        <v>22925008.20700078</v>
      </c>
      <c r="J30" s="86">
        <f>SUM(J8:J29)</f>
        <v>165901420.43672562</v>
      </c>
      <c r="K30" s="80">
        <f>SUM(K10:K29)</f>
        <v>0</v>
      </c>
      <c r="L30" s="80">
        <f>SUM(L10:L29)</f>
        <v>0</v>
      </c>
      <c r="M30" s="80">
        <f>SUM(M8:M29)</f>
        <v>0</v>
      </c>
      <c r="N30" s="86">
        <f>SUM(N8:N29)</f>
        <v>0</v>
      </c>
      <c r="O30" s="31"/>
    </row>
    <row r="31" spans="2:16" ht="9.75">
      <c r="B31" s="25" t="s">
        <v>87</v>
      </c>
      <c r="C31" s="27">
        <f>C30-'Rail Assets'!H57</f>
        <v>0</v>
      </c>
      <c r="D31" s="27">
        <f>D30-'Rail Assets'!I57</f>
        <v>0</v>
      </c>
      <c r="E31" s="1" t="s">
        <v>36</v>
      </c>
      <c r="F31" s="1" t="s">
        <v>143</v>
      </c>
      <c r="J31" s="84"/>
      <c r="N31" s="84"/>
      <c r="O31" s="31"/>
      <c r="P31" s="31"/>
    </row>
    <row r="32" spans="2:16" ht="9.75">
      <c r="B32" s="25"/>
      <c r="C32" s="4" t="s">
        <v>91</v>
      </c>
      <c r="D32" s="4" t="s">
        <v>92</v>
      </c>
      <c r="I32" s="76" t="s">
        <v>144</v>
      </c>
      <c r="J32" s="84">
        <f>C30</f>
        <v>165901420.43672562</v>
      </c>
      <c r="M32" s="76" t="s">
        <v>144</v>
      </c>
      <c r="N32" s="84">
        <f>D30</f>
        <v>0</v>
      </c>
      <c r="O32" s="31"/>
      <c r="P32" s="31"/>
    </row>
    <row r="33" spans="9:16" ht="10.5" thickBot="1">
      <c r="I33" s="75" t="s">
        <v>145</v>
      </c>
      <c r="J33" s="85">
        <f>J30-J32</f>
        <v>0</v>
      </c>
      <c r="M33" s="75" t="s">
        <v>145</v>
      </c>
      <c r="N33" s="85">
        <f>N30-N32</f>
        <v>0</v>
      </c>
      <c r="O33" s="29"/>
      <c r="P33" s="29"/>
    </row>
    <row r="36" spans="1:2" ht="9.75">
      <c r="A36" s="198" t="str">
        <f>HYPERLINK(CONCATENATE(workbookname,"$A$1"),"Top")</f>
        <v>Top</v>
      </c>
      <c r="B36" s="2" t="s">
        <v>226</v>
      </c>
    </row>
    <row r="37" ht="10.5" thickBot="1">
      <c r="B37" s="171" t="str">
        <f>Contents!D76</f>
        <v>Annuities that relate to the capital expenditure projects based on the railway</v>
      </c>
    </row>
    <row r="38" spans="5:28" ht="10.5" thickBot="1">
      <c r="E38" s="243" t="s">
        <v>218</v>
      </c>
      <c r="F38" s="244"/>
      <c r="G38" s="244"/>
      <c r="H38" s="244"/>
      <c r="I38" s="243" t="s">
        <v>219</v>
      </c>
      <c r="J38" s="244"/>
      <c r="K38" s="244"/>
      <c r="L38" s="244"/>
      <c r="M38" s="238" t="s">
        <v>220</v>
      </c>
      <c r="N38" s="239"/>
      <c r="O38" s="239"/>
      <c r="P38" s="239"/>
      <c r="Q38" s="238" t="s">
        <v>221</v>
      </c>
      <c r="R38" s="239"/>
      <c r="S38" s="239"/>
      <c r="T38" s="239"/>
      <c r="U38" s="238" t="s">
        <v>223</v>
      </c>
      <c r="V38" s="239"/>
      <c r="W38" s="239"/>
      <c r="X38" s="239"/>
      <c r="Y38" s="238" t="s">
        <v>224</v>
      </c>
      <c r="Z38" s="239"/>
      <c r="AA38" s="239"/>
      <c r="AB38" s="240"/>
    </row>
    <row r="39" spans="3:28" ht="51" thickBot="1">
      <c r="C39" s="81" t="s">
        <v>139</v>
      </c>
      <c r="D39" s="163" t="s">
        <v>140</v>
      </c>
      <c r="E39" s="81" t="s">
        <v>146</v>
      </c>
      <c r="F39" s="82" t="s">
        <v>141</v>
      </c>
      <c r="G39" s="82" t="s">
        <v>142</v>
      </c>
      <c r="H39" s="87" t="s">
        <v>94</v>
      </c>
      <c r="I39" s="81" t="s">
        <v>146</v>
      </c>
      <c r="J39" s="82" t="s">
        <v>141</v>
      </c>
      <c r="K39" s="82" t="s">
        <v>142</v>
      </c>
      <c r="L39" s="87" t="s">
        <v>94</v>
      </c>
      <c r="M39" s="81" t="s">
        <v>146</v>
      </c>
      <c r="N39" s="82" t="s">
        <v>141</v>
      </c>
      <c r="O39" s="82" t="s">
        <v>142</v>
      </c>
      <c r="P39" s="87" t="s">
        <v>94</v>
      </c>
      <c r="Q39" s="81" t="s">
        <v>146</v>
      </c>
      <c r="R39" s="82" t="s">
        <v>141</v>
      </c>
      <c r="S39" s="82" t="s">
        <v>142</v>
      </c>
      <c r="T39" s="87" t="s">
        <v>94</v>
      </c>
      <c r="U39" s="81" t="s">
        <v>146</v>
      </c>
      <c r="V39" s="82" t="s">
        <v>141</v>
      </c>
      <c r="W39" s="82" t="s">
        <v>142</v>
      </c>
      <c r="X39" s="87" t="s">
        <v>94</v>
      </c>
      <c r="Y39" s="81" t="s">
        <v>146</v>
      </c>
      <c r="Z39" s="82" t="s">
        <v>141</v>
      </c>
      <c r="AA39" s="82" t="s">
        <v>142</v>
      </c>
      <c r="AB39" s="87" t="s">
        <v>94</v>
      </c>
    </row>
    <row r="40" spans="3:28" ht="10.5" thickBot="1">
      <c r="C40" s="34"/>
      <c r="D40" s="36"/>
      <c r="E40" s="34"/>
      <c r="F40" s="35"/>
      <c r="G40" s="35"/>
      <c r="H40" s="83"/>
      <c r="I40" s="34"/>
      <c r="J40" s="35"/>
      <c r="K40" s="35"/>
      <c r="L40" s="83"/>
      <c r="M40" s="34"/>
      <c r="N40" s="35"/>
      <c r="O40" s="35"/>
      <c r="P40" s="83"/>
      <c r="Q40" s="34"/>
      <c r="R40" s="35"/>
      <c r="S40" s="35"/>
      <c r="T40" s="83"/>
      <c r="U40" s="34"/>
      <c r="V40" s="35"/>
      <c r="W40" s="35"/>
      <c r="X40" s="83"/>
      <c r="Y40" s="34"/>
      <c r="Z40" s="35"/>
      <c r="AA40" s="35"/>
      <c r="AB40" s="83"/>
    </row>
    <row r="41" spans="2:28" ht="9.75">
      <c r="B41" s="69" t="str">
        <f>B8</f>
        <v>All</v>
      </c>
      <c r="C41" s="34"/>
      <c r="D41" s="36"/>
      <c r="E41" s="34"/>
      <c r="F41" s="35"/>
      <c r="G41" s="35"/>
      <c r="H41" s="83"/>
      <c r="I41" s="34"/>
      <c r="J41" s="35"/>
      <c r="K41" s="35"/>
      <c r="L41" s="83"/>
      <c r="M41" s="34"/>
      <c r="N41" s="35"/>
      <c r="O41" s="35"/>
      <c r="P41" s="83"/>
      <c r="Q41" s="34"/>
      <c r="R41" s="35"/>
      <c r="S41" s="35"/>
      <c r="T41" s="83"/>
      <c r="U41" s="34"/>
      <c r="V41" s="35"/>
      <c r="W41" s="35"/>
      <c r="X41" s="83"/>
      <c r="Y41" s="34"/>
      <c r="Z41" s="35"/>
      <c r="AA41" s="35"/>
      <c r="AB41" s="83"/>
    </row>
    <row r="42" spans="2:28" ht="9.75">
      <c r="B42" s="70" t="str">
        <f>B9</f>
        <v>Equal Split</v>
      </c>
      <c r="C42" s="37"/>
      <c r="D42" s="39"/>
      <c r="E42" s="37"/>
      <c r="F42" s="29"/>
      <c r="G42" s="29"/>
      <c r="H42" s="84"/>
      <c r="I42" s="37"/>
      <c r="J42" s="29"/>
      <c r="K42" s="29"/>
      <c r="L42" s="84"/>
      <c r="M42" s="37"/>
      <c r="N42" s="29"/>
      <c r="O42" s="29"/>
      <c r="P42" s="84"/>
      <c r="Q42" s="37"/>
      <c r="R42" s="29"/>
      <c r="S42" s="29"/>
      <c r="T42" s="84"/>
      <c r="U42" s="37"/>
      <c r="V42" s="29"/>
      <c r="W42" s="29"/>
      <c r="X42" s="84"/>
      <c r="Y42" s="37"/>
      <c r="Z42" s="29"/>
      <c r="AA42" s="29"/>
      <c r="AB42" s="84"/>
    </row>
    <row r="43" spans="2:28" ht="9.75">
      <c r="B43" s="70" t="str">
        <f>rail1</f>
        <v>Cloudbreak to Port Dumper</v>
      </c>
      <c r="C43" s="37">
        <f aca="true" t="shared" si="12" ref="C43:C62">VLOOKUP(B43,raildata,3,FALSE)</f>
        <v>273534</v>
      </c>
      <c r="D43" s="39">
        <f aca="true" t="shared" si="13" ref="D43:D62">IF(VLOOKUP(B43,raildata,2,FALSE)="Yes",1,0)</f>
        <v>1</v>
      </c>
      <c r="E43" s="37">
        <f>'Rail CAPEX'!E57</f>
        <v>3996861.3409255287</v>
      </c>
      <c r="F43" s="29">
        <f>'Rail CAPEX'!F57</f>
        <v>0</v>
      </c>
      <c r="G43" s="29">
        <f>'Rail CAPEX'!G57</f>
        <v>0</v>
      </c>
      <c r="H43" s="84">
        <f aca="true" t="shared" si="14" ref="H43:H62">SUM(E43:G43)</f>
        <v>3996861.3409255287</v>
      </c>
      <c r="I43" s="37">
        <f>'Rail CAPEX'!I57</f>
        <v>17536122.984612033</v>
      </c>
      <c r="J43" s="29">
        <f>'Rail CAPEX'!J57</f>
        <v>0</v>
      </c>
      <c r="K43" s="29">
        <f>'Rail CAPEX'!K57</f>
        <v>0</v>
      </c>
      <c r="L43" s="84">
        <f aca="true" t="shared" si="15" ref="L43:L62">SUM(I43:K43)</f>
        <v>17536122.984612033</v>
      </c>
      <c r="M43" s="37">
        <f>'Rail CAPEX'!M57</f>
        <v>17536122.984612033</v>
      </c>
      <c r="N43" s="29">
        <f>'Rail CAPEX'!N57</f>
        <v>0</v>
      </c>
      <c r="O43" s="29">
        <f>'Rail CAPEX'!O57</f>
        <v>0</v>
      </c>
      <c r="P43" s="84">
        <f aca="true" t="shared" si="16" ref="P43:P62">SUM(M43:O43)</f>
        <v>17536122.984612033</v>
      </c>
      <c r="Q43" s="37">
        <f>'Rail CAPEX'!Q57</f>
        <v>17536122.984612033</v>
      </c>
      <c r="R43" s="29">
        <f>'Rail CAPEX'!R57</f>
        <v>0</v>
      </c>
      <c r="S43" s="29">
        <f>'Rail CAPEX'!S57</f>
        <v>0</v>
      </c>
      <c r="T43" s="84">
        <f aca="true" t="shared" si="17" ref="T43:T62">SUM(Q43:S43)</f>
        <v>17536122.984612033</v>
      </c>
      <c r="U43" s="37">
        <f>'Rail CAPEX'!U57</f>
        <v>17536122.984612033</v>
      </c>
      <c r="V43" s="29">
        <f>'Rail CAPEX'!V57</f>
        <v>0</v>
      </c>
      <c r="W43" s="29">
        <f>'Rail CAPEX'!W57</f>
        <v>0</v>
      </c>
      <c r="X43" s="84">
        <f aca="true" t="shared" si="18" ref="X43:X62">SUM(U43:W43)</f>
        <v>17536122.984612033</v>
      </c>
      <c r="Y43" s="37">
        <f>'Rail CAPEX'!Y57</f>
        <v>17536122.984612033</v>
      </c>
      <c r="Z43" s="29">
        <f>'Rail CAPEX'!Z57</f>
        <v>0</v>
      </c>
      <c r="AA43" s="29">
        <f>'Rail CAPEX'!AA57</f>
        <v>0</v>
      </c>
      <c r="AB43" s="84">
        <f aca="true" t="shared" si="19" ref="AB43:AB62">SUM(Y43:AA43)</f>
        <v>17536122.984612033</v>
      </c>
    </row>
    <row r="44" spans="2:28" ht="9.75">
      <c r="B44" s="70" t="str">
        <f>rail2</f>
        <v>Route 2</v>
      </c>
      <c r="C44" s="37">
        <f t="shared" si="12"/>
        <v>0</v>
      </c>
      <c r="D44" s="39">
        <f t="shared" si="13"/>
        <v>0</v>
      </c>
      <c r="E44" s="37">
        <f>'Rail CAPEX'!E58</f>
        <v>0</v>
      </c>
      <c r="F44" s="29">
        <f>'Rail CAPEX'!F58</f>
        <v>0</v>
      </c>
      <c r="G44" s="29">
        <f>'Rail CAPEX'!G58</f>
        <v>0</v>
      </c>
      <c r="H44" s="84">
        <f t="shared" si="14"/>
        <v>0</v>
      </c>
      <c r="I44" s="37">
        <f>'Rail CAPEX'!I58</f>
        <v>0</v>
      </c>
      <c r="J44" s="29">
        <f>'Rail CAPEX'!J58</f>
        <v>0</v>
      </c>
      <c r="K44" s="29">
        <f>'Rail CAPEX'!K58</f>
        <v>0</v>
      </c>
      <c r="L44" s="84">
        <f t="shared" si="15"/>
        <v>0</v>
      </c>
      <c r="M44" s="37">
        <f>'Rail CAPEX'!M58</f>
        <v>0</v>
      </c>
      <c r="N44" s="29">
        <f>'Rail CAPEX'!N58</f>
        <v>0</v>
      </c>
      <c r="O44" s="29">
        <f>'Rail CAPEX'!O58</f>
        <v>0</v>
      </c>
      <c r="P44" s="84">
        <f t="shared" si="16"/>
        <v>0</v>
      </c>
      <c r="Q44" s="37">
        <f>'Rail CAPEX'!Q58</f>
        <v>0</v>
      </c>
      <c r="R44" s="29">
        <f>'Rail CAPEX'!R58</f>
        <v>0</v>
      </c>
      <c r="S44" s="29">
        <f>'Rail CAPEX'!S58</f>
        <v>0</v>
      </c>
      <c r="T44" s="84">
        <f t="shared" si="17"/>
        <v>0</v>
      </c>
      <c r="U44" s="37">
        <f>'Rail CAPEX'!U58</f>
        <v>0</v>
      </c>
      <c r="V44" s="29">
        <f>'Rail CAPEX'!V58</f>
        <v>0</v>
      </c>
      <c r="W44" s="29">
        <f>'Rail CAPEX'!W58</f>
        <v>0</v>
      </c>
      <c r="X44" s="84">
        <f t="shared" si="18"/>
        <v>0</v>
      </c>
      <c r="Y44" s="37">
        <f>'Rail CAPEX'!Y58</f>
        <v>0</v>
      </c>
      <c r="Z44" s="29">
        <f>'Rail CAPEX'!Z58</f>
        <v>0</v>
      </c>
      <c r="AA44" s="29">
        <f>'Rail CAPEX'!AA58</f>
        <v>0</v>
      </c>
      <c r="AB44" s="84">
        <f t="shared" si="19"/>
        <v>0</v>
      </c>
    </row>
    <row r="45" spans="2:28" ht="9.75">
      <c r="B45" s="70" t="str">
        <f>rail3</f>
        <v>Route 3</v>
      </c>
      <c r="C45" s="37">
        <f t="shared" si="12"/>
        <v>0</v>
      </c>
      <c r="D45" s="39">
        <f t="shared" si="13"/>
        <v>0</v>
      </c>
      <c r="E45" s="37">
        <f>'Rail CAPEX'!E59</f>
        <v>0</v>
      </c>
      <c r="F45" s="29">
        <f>'Rail CAPEX'!F59</f>
        <v>0</v>
      </c>
      <c r="G45" s="29">
        <f>'Rail CAPEX'!G59</f>
        <v>0</v>
      </c>
      <c r="H45" s="84">
        <f t="shared" si="14"/>
        <v>0</v>
      </c>
      <c r="I45" s="37">
        <f>'Rail CAPEX'!I59</f>
        <v>0</v>
      </c>
      <c r="J45" s="29">
        <f>'Rail CAPEX'!J59</f>
        <v>0</v>
      </c>
      <c r="K45" s="29">
        <f>'Rail CAPEX'!K59</f>
        <v>0</v>
      </c>
      <c r="L45" s="84">
        <f t="shared" si="15"/>
        <v>0</v>
      </c>
      <c r="M45" s="37">
        <f>'Rail CAPEX'!M59</f>
        <v>0</v>
      </c>
      <c r="N45" s="29">
        <f>'Rail CAPEX'!N59</f>
        <v>0</v>
      </c>
      <c r="O45" s="29">
        <f>'Rail CAPEX'!O59</f>
        <v>0</v>
      </c>
      <c r="P45" s="84">
        <f t="shared" si="16"/>
        <v>0</v>
      </c>
      <c r="Q45" s="37">
        <f>'Rail CAPEX'!Q59</f>
        <v>0</v>
      </c>
      <c r="R45" s="29">
        <f>'Rail CAPEX'!R59</f>
        <v>0</v>
      </c>
      <c r="S45" s="29">
        <f>'Rail CAPEX'!S59</f>
        <v>0</v>
      </c>
      <c r="T45" s="84">
        <f t="shared" si="17"/>
        <v>0</v>
      </c>
      <c r="U45" s="37">
        <f>'Rail CAPEX'!U59</f>
        <v>0</v>
      </c>
      <c r="V45" s="29">
        <f>'Rail CAPEX'!V59</f>
        <v>0</v>
      </c>
      <c r="W45" s="29">
        <f>'Rail CAPEX'!W59</f>
        <v>0</v>
      </c>
      <c r="X45" s="84">
        <f t="shared" si="18"/>
        <v>0</v>
      </c>
      <c r="Y45" s="37">
        <f>'Rail CAPEX'!Y59</f>
        <v>0</v>
      </c>
      <c r="Z45" s="29">
        <f>'Rail CAPEX'!Z59</f>
        <v>0</v>
      </c>
      <c r="AA45" s="29">
        <f>'Rail CAPEX'!AA59</f>
        <v>0</v>
      </c>
      <c r="AB45" s="84">
        <f t="shared" si="19"/>
        <v>0</v>
      </c>
    </row>
    <row r="46" spans="2:28" ht="9.75">
      <c r="B46" s="70" t="str">
        <f>rail4</f>
        <v>Route 4</v>
      </c>
      <c r="C46" s="37">
        <f t="shared" si="12"/>
        <v>0</v>
      </c>
      <c r="D46" s="39">
        <f t="shared" si="13"/>
        <v>0</v>
      </c>
      <c r="E46" s="37">
        <f>'Rail CAPEX'!E60</f>
        <v>0</v>
      </c>
      <c r="F46" s="29">
        <f>'Rail CAPEX'!F60</f>
        <v>0</v>
      </c>
      <c r="G46" s="29">
        <f>'Rail CAPEX'!G60</f>
        <v>0</v>
      </c>
      <c r="H46" s="84">
        <f t="shared" si="14"/>
        <v>0</v>
      </c>
      <c r="I46" s="37">
        <f>'Rail CAPEX'!I60</f>
        <v>0</v>
      </c>
      <c r="J46" s="29">
        <f>'Rail CAPEX'!J60</f>
        <v>0</v>
      </c>
      <c r="K46" s="29">
        <f>'Rail CAPEX'!K60</f>
        <v>0</v>
      </c>
      <c r="L46" s="84">
        <f t="shared" si="15"/>
        <v>0</v>
      </c>
      <c r="M46" s="37">
        <f>'Rail CAPEX'!M60</f>
        <v>0</v>
      </c>
      <c r="N46" s="29">
        <f>'Rail CAPEX'!N60</f>
        <v>0</v>
      </c>
      <c r="O46" s="29">
        <f>'Rail CAPEX'!O60</f>
        <v>0</v>
      </c>
      <c r="P46" s="84">
        <f t="shared" si="16"/>
        <v>0</v>
      </c>
      <c r="Q46" s="37">
        <f>'Rail CAPEX'!Q60</f>
        <v>0</v>
      </c>
      <c r="R46" s="29">
        <f>'Rail CAPEX'!R60</f>
        <v>0</v>
      </c>
      <c r="S46" s="29">
        <f>'Rail CAPEX'!S60</f>
        <v>0</v>
      </c>
      <c r="T46" s="84">
        <f t="shared" si="17"/>
        <v>0</v>
      </c>
      <c r="U46" s="37">
        <f>'Rail CAPEX'!U60</f>
        <v>0</v>
      </c>
      <c r="V46" s="29">
        <f>'Rail CAPEX'!V60</f>
        <v>0</v>
      </c>
      <c r="W46" s="29">
        <f>'Rail CAPEX'!W60</f>
        <v>0</v>
      </c>
      <c r="X46" s="84">
        <f t="shared" si="18"/>
        <v>0</v>
      </c>
      <c r="Y46" s="37">
        <f>'Rail CAPEX'!Y60</f>
        <v>0</v>
      </c>
      <c r="Z46" s="29">
        <f>'Rail CAPEX'!Z60</f>
        <v>0</v>
      </c>
      <c r="AA46" s="29">
        <f>'Rail CAPEX'!AA60</f>
        <v>0</v>
      </c>
      <c r="AB46" s="84">
        <f t="shared" si="19"/>
        <v>0</v>
      </c>
    </row>
    <row r="47" spans="2:28" ht="9.75">
      <c r="B47" s="70" t="str">
        <f>rail5</f>
        <v>Route 5</v>
      </c>
      <c r="C47" s="37">
        <f t="shared" si="12"/>
        <v>0</v>
      </c>
      <c r="D47" s="39">
        <f t="shared" si="13"/>
        <v>0</v>
      </c>
      <c r="E47" s="37">
        <f>'Rail CAPEX'!E61</f>
        <v>0</v>
      </c>
      <c r="F47" s="29">
        <f>'Rail CAPEX'!F61</f>
        <v>0</v>
      </c>
      <c r="G47" s="29">
        <f>'Rail CAPEX'!G61</f>
        <v>0</v>
      </c>
      <c r="H47" s="84">
        <f t="shared" si="14"/>
        <v>0</v>
      </c>
      <c r="I47" s="37">
        <f>'Rail CAPEX'!I61</f>
        <v>0</v>
      </c>
      <c r="J47" s="29">
        <f>'Rail CAPEX'!J61</f>
        <v>0</v>
      </c>
      <c r="K47" s="29">
        <f>'Rail CAPEX'!K61</f>
        <v>0</v>
      </c>
      <c r="L47" s="84">
        <f t="shared" si="15"/>
        <v>0</v>
      </c>
      <c r="M47" s="37">
        <f>'Rail CAPEX'!M61</f>
        <v>0</v>
      </c>
      <c r="N47" s="29">
        <f>'Rail CAPEX'!N61</f>
        <v>0</v>
      </c>
      <c r="O47" s="29">
        <f>'Rail CAPEX'!O61</f>
        <v>0</v>
      </c>
      <c r="P47" s="84">
        <f t="shared" si="16"/>
        <v>0</v>
      </c>
      <c r="Q47" s="37">
        <f>'Rail CAPEX'!Q61</f>
        <v>0</v>
      </c>
      <c r="R47" s="29">
        <f>'Rail CAPEX'!R61</f>
        <v>0</v>
      </c>
      <c r="S47" s="29">
        <f>'Rail CAPEX'!S61</f>
        <v>0</v>
      </c>
      <c r="T47" s="84">
        <f t="shared" si="17"/>
        <v>0</v>
      </c>
      <c r="U47" s="37">
        <f>'Rail CAPEX'!U61</f>
        <v>0</v>
      </c>
      <c r="V47" s="29">
        <f>'Rail CAPEX'!V61</f>
        <v>0</v>
      </c>
      <c r="W47" s="29">
        <f>'Rail CAPEX'!W61</f>
        <v>0</v>
      </c>
      <c r="X47" s="84">
        <f t="shared" si="18"/>
        <v>0</v>
      </c>
      <c r="Y47" s="37">
        <f>'Rail CAPEX'!Y61</f>
        <v>0</v>
      </c>
      <c r="Z47" s="29">
        <f>'Rail CAPEX'!Z61</f>
        <v>0</v>
      </c>
      <c r="AA47" s="29">
        <f>'Rail CAPEX'!AA61</f>
        <v>0</v>
      </c>
      <c r="AB47" s="84">
        <f t="shared" si="19"/>
        <v>0</v>
      </c>
    </row>
    <row r="48" spans="2:28" ht="9.75">
      <c r="B48" s="70" t="str">
        <f>rail6</f>
        <v>Route 6</v>
      </c>
      <c r="C48" s="37">
        <f t="shared" si="12"/>
        <v>0</v>
      </c>
      <c r="D48" s="39">
        <f t="shared" si="13"/>
        <v>0</v>
      </c>
      <c r="E48" s="37">
        <f>'Rail CAPEX'!E62</f>
        <v>0</v>
      </c>
      <c r="F48" s="29">
        <f>'Rail CAPEX'!F62</f>
        <v>0</v>
      </c>
      <c r="G48" s="29">
        <f>'Rail CAPEX'!G62</f>
        <v>0</v>
      </c>
      <c r="H48" s="84">
        <f t="shared" si="14"/>
        <v>0</v>
      </c>
      <c r="I48" s="37">
        <f>'Rail CAPEX'!I62</f>
        <v>0</v>
      </c>
      <c r="J48" s="29">
        <f>'Rail CAPEX'!J62</f>
        <v>0</v>
      </c>
      <c r="K48" s="29">
        <f>'Rail CAPEX'!K62</f>
        <v>0</v>
      </c>
      <c r="L48" s="84">
        <f t="shared" si="15"/>
        <v>0</v>
      </c>
      <c r="M48" s="37">
        <f>'Rail CAPEX'!M62</f>
        <v>0</v>
      </c>
      <c r="N48" s="29">
        <f>'Rail CAPEX'!N62</f>
        <v>0</v>
      </c>
      <c r="O48" s="29">
        <f>'Rail CAPEX'!O62</f>
        <v>0</v>
      </c>
      <c r="P48" s="84">
        <f t="shared" si="16"/>
        <v>0</v>
      </c>
      <c r="Q48" s="37">
        <f>'Rail CAPEX'!Q62</f>
        <v>0</v>
      </c>
      <c r="R48" s="29">
        <f>'Rail CAPEX'!R62</f>
        <v>0</v>
      </c>
      <c r="S48" s="29">
        <f>'Rail CAPEX'!S62</f>
        <v>0</v>
      </c>
      <c r="T48" s="84">
        <f t="shared" si="17"/>
        <v>0</v>
      </c>
      <c r="U48" s="37">
        <f>'Rail CAPEX'!U62</f>
        <v>0</v>
      </c>
      <c r="V48" s="29">
        <f>'Rail CAPEX'!V62</f>
        <v>0</v>
      </c>
      <c r="W48" s="29">
        <f>'Rail CAPEX'!W62</f>
        <v>0</v>
      </c>
      <c r="X48" s="84">
        <f t="shared" si="18"/>
        <v>0</v>
      </c>
      <c r="Y48" s="37">
        <f>'Rail CAPEX'!Y62</f>
        <v>0</v>
      </c>
      <c r="Z48" s="29">
        <f>'Rail CAPEX'!Z62</f>
        <v>0</v>
      </c>
      <c r="AA48" s="29">
        <f>'Rail CAPEX'!AA62</f>
        <v>0</v>
      </c>
      <c r="AB48" s="84">
        <f t="shared" si="19"/>
        <v>0</v>
      </c>
    </row>
    <row r="49" spans="2:28" ht="9.75">
      <c r="B49" s="70" t="str">
        <f>rail7</f>
        <v>Route 7</v>
      </c>
      <c r="C49" s="37">
        <f t="shared" si="12"/>
        <v>0</v>
      </c>
      <c r="D49" s="39">
        <f t="shared" si="13"/>
        <v>0</v>
      </c>
      <c r="E49" s="37">
        <f>'Rail CAPEX'!E63</f>
        <v>0</v>
      </c>
      <c r="F49" s="29">
        <f>'Rail CAPEX'!F63</f>
        <v>0</v>
      </c>
      <c r="G49" s="29">
        <f>'Rail CAPEX'!G63</f>
        <v>0</v>
      </c>
      <c r="H49" s="84">
        <f t="shared" si="14"/>
        <v>0</v>
      </c>
      <c r="I49" s="37">
        <f>'Rail CAPEX'!I63</f>
        <v>0</v>
      </c>
      <c r="J49" s="29">
        <f>'Rail CAPEX'!J63</f>
        <v>0</v>
      </c>
      <c r="K49" s="29">
        <f>'Rail CAPEX'!K63</f>
        <v>0</v>
      </c>
      <c r="L49" s="84">
        <f t="shared" si="15"/>
        <v>0</v>
      </c>
      <c r="M49" s="37">
        <f>'Rail CAPEX'!M63</f>
        <v>0</v>
      </c>
      <c r="N49" s="29">
        <f>'Rail CAPEX'!N63</f>
        <v>0</v>
      </c>
      <c r="O49" s="29">
        <f>'Rail CAPEX'!O63</f>
        <v>0</v>
      </c>
      <c r="P49" s="84">
        <f t="shared" si="16"/>
        <v>0</v>
      </c>
      <c r="Q49" s="37">
        <f>'Rail CAPEX'!Q63</f>
        <v>0</v>
      </c>
      <c r="R49" s="29">
        <f>'Rail CAPEX'!R63</f>
        <v>0</v>
      </c>
      <c r="S49" s="29">
        <f>'Rail CAPEX'!S63</f>
        <v>0</v>
      </c>
      <c r="T49" s="84">
        <f t="shared" si="17"/>
        <v>0</v>
      </c>
      <c r="U49" s="37">
        <f>'Rail CAPEX'!U63</f>
        <v>0</v>
      </c>
      <c r="V49" s="29">
        <f>'Rail CAPEX'!V63</f>
        <v>0</v>
      </c>
      <c r="W49" s="29">
        <f>'Rail CAPEX'!W63</f>
        <v>0</v>
      </c>
      <c r="X49" s="84">
        <f t="shared" si="18"/>
        <v>0</v>
      </c>
      <c r="Y49" s="37">
        <f>'Rail CAPEX'!Y63</f>
        <v>0</v>
      </c>
      <c r="Z49" s="29">
        <f>'Rail CAPEX'!Z63</f>
        <v>0</v>
      </c>
      <c r="AA49" s="29">
        <f>'Rail CAPEX'!AA63</f>
        <v>0</v>
      </c>
      <c r="AB49" s="84">
        <f t="shared" si="19"/>
        <v>0</v>
      </c>
    </row>
    <row r="50" spans="2:28" ht="9.75">
      <c r="B50" s="70" t="str">
        <f>rail8</f>
        <v>Route 8</v>
      </c>
      <c r="C50" s="37">
        <f t="shared" si="12"/>
        <v>0</v>
      </c>
      <c r="D50" s="39">
        <f t="shared" si="13"/>
        <v>0</v>
      </c>
      <c r="E50" s="37">
        <f>'Rail CAPEX'!E64</f>
        <v>0</v>
      </c>
      <c r="F50" s="29">
        <f>'Rail CAPEX'!F64</f>
        <v>0</v>
      </c>
      <c r="G50" s="29">
        <f>'Rail CAPEX'!G64</f>
        <v>0</v>
      </c>
      <c r="H50" s="84">
        <f t="shared" si="14"/>
        <v>0</v>
      </c>
      <c r="I50" s="37">
        <f>'Rail CAPEX'!I64</f>
        <v>0</v>
      </c>
      <c r="J50" s="29">
        <f>'Rail CAPEX'!J64</f>
        <v>0</v>
      </c>
      <c r="K50" s="29">
        <f>'Rail CAPEX'!K64</f>
        <v>0</v>
      </c>
      <c r="L50" s="84">
        <f t="shared" si="15"/>
        <v>0</v>
      </c>
      <c r="M50" s="37">
        <f>'Rail CAPEX'!M64</f>
        <v>0</v>
      </c>
      <c r="N50" s="29">
        <f>'Rail CAPEX'!N64</f>
        <v>0</v>
      </c>
      <c r="O50" s="29">
        <f>'Rail CAPEX'!O64</f>
        <v>0</v>
      </c>
      <c r="P50" s="84">
        <f t="shared" si="16"/>
        <v>0</v>
      </c>
      <c r="Q50" s="37">
        <f>'Rail CAPEX'!Q64</f>
        <v>0</v>
      </c>
      <c r="R50" s="29">
        <f>'Rail CAPEX'!R64</f>
        <v>0</v>
      </c>
      <c r="S50" s="29">
        <f>'Rail CAPEX'!S64</f>
        <v>0</v>
      </c>
      <c r="T50" s="84">
        <f t="shared" si="17"/>
        <v>0</v>
      </c>
      <c r="U50" s="37">
        <f>'Rail CAPEX'!U64</f>
        <v>0</v>
      </c>
      <c r="V50" s="29">
        <f>'Rail CAPEX'!V64</f>
        <v>0</v>
      </c>
      <c r="W50" s="29">
        <f>'Rail CAPEX'!W64</f>
        <v>0</v>
      </c>
      <c r="X50" s="84">
        <f t="shared" si="18"/>
        <v>0</v>
      </c>
      <c r="Y50" s="37">
        <f>'Rail CAPEX'!Y64</f>
        <v>0</v>
      </c>
      <c r="Z50" s="29">
        <f>'Rail CAPEX'!Z64</f>
        <v>0</v>
      </c>
      <c r="AA50" s="29">
        <f>'Rail CAPEX'!AA64</f>
        <v>0</v>
      </c>
      <c r="AB50" s="84">
        <f t="shared" si="19"/>
        <v>0</v>
      </c>
    </row>
    <row r="51" spans="2:28" ht="9.75">
      <c r="B51" s="70" t="str">
        <f>rail9</f>
        <v>Route 9</v>
      </c>
      <c r="C51" s="37">
        <f t="shared" si="12"/>
        <v>0</v>
      </c>
      <c r="D51" s="39">
        <f t="shared" si="13"/>
        <v>0</v>
      </c>
      <c r="E51" s="37">
        <f>'Rail CAPEX'!E65</f>
        <v>0</v>
      </c>
      <c r="F51" s="29">
        <f>'Rail CAPEX'!F65</f>
        <v>0</v>
      </c>
      <c r="G51" s="29">
        <f>'Rail CAPEX'!G65</f>
        <v>0</v>
      </c>
      <c r="H51" s="84">
        <f t="shared" si="14"/>
        <v>0</v>
      </c>
      <c r="I51" s="37">
        <f>'Rail CAPEX'!I65</f>
        <v>0</v>
      </c>
      <c r="J51" s="29">
        <f>'Rail CAPEX'!J65</f>
        <v>0</v>
      </c>
      <c r="K51" s="29">
        <f>'Rail CAPEX'!K65</f>
        <v>0</v>
      </c>
      <c r="L51" s="84">
        <f t="shared" si="15"/>
        <v>0</v>
      </c>
      <c r="M51" s="37">
        <f>'Rail CAPEX'!M65</f>
        <v>0</v>
      </c>
      <c r="N51" s="29">
        <f>'Rail CAPEX'!N65</f>
        <v>0</v>
      </c>
      <c r="O51" s="29">
        <f>'Rail CAPEX'!O65</f>
        <v>0</v>
      </c>
      <c r="P51" s="84">
        <f t="shared" si="16"/>
        <v>0</v>
      </c>
      <c r="Q51" s="37">
        <f>'Rail CAPEX'!Q65</f>
        <v>0</v>
      </c>
      <c r="R51" s="29">
        <f>'Rail CAPEX'!R65</f>
        <v>0</v>
      </c>
      <c r="S51" s="29">
        <f>'Rail CAPEX'!S65</f>
        <v>0</v>
      </c>
      <c r="T51" s="84">
        <f t="shared" si="17"/>
        <v>0</v>
      </c>
      <c r="U51" s="37">
        <f>'Rail CAPEX'!U65</f>
        <v>0</v>
      </c>
      <c r="V51" s="29">
        <f>'Rail CAPEX'!V65</f>
        <v>0</v>
      </c>
      <c r="W51" s="29">
        <f>'Rail CAPEX'!W65</f>
        <v>0</v>
      </c>
      <c r="X51" s="84">
        <f t="shared" si="18"/>
        <v>0</v>
      </c>
      <c r="Y51" s="37">
        <f>'Rail CAPEX'!Y65</f>
        <v>0</v>
      </c>
      <c r="Z51" s="29">
        <f>'Rail CAPEX'!Z65</f>
        <v>0</v>
      </c>
      <c r="AA51" s="29">
        <f>'Rail CAPEX'!AA65</f>
        <v>0</v>
      </c>
      <c r="AB51" s="84">
        <f t="shared" si="19"/>
        <v>0</v>
      </c>
    </row>
    <row r="52" spans="2:28" ht="9.75">
      <c r="B52" s="70" t="str">
        <f>rail10</f>
        <v>Route 10</v>
      </c>
      <c r="C52" s="37">
        <f t="shared" si="12"/>
        <v>0</v>
      </c>
      <c r="D52" s="39">
        <f t="shared" si="13"/>
        <v>0</v>
      </c>
      <c r="E52" s="37">
        <f>'Rail CAPEX'!E66</f>
        <v>0</v>
      </c>
      <c r="F52" s="29">
        <f>'Rail CAPEX'!F66</f>
        <v>0</v>
      </c>
      <c r="G52" s="29">
        <f>'Rail CAPEX'!G66</f>
        <v>0</v>
      </c>
      <c r="H52" s="84">
        <f t="shared" si="14"/>
        <v>0</v>
      </c>
      <c r="I52" s="37">
        <f>'Rail CAPEX'!I66</f>
        <v>0</v>
      </c>
      <c r="J52" s="29">
        <f>'Rail CAPEX'!J66</f>
        <v>0</v>
      </c>
      <c r="K52" s="29">
        <f>'Rail CAPEX'!K66</f>
        <v>0</v>
      </c>
      <c r="L52" s="84">
        <f t="shared" si="15"/>
        <v>0</v>
      </c>
      <c r="M52" s="37">
        <f>'Rail CAPEX'!M66</f>
        <v>0</v>
      </c>
      <c r="N52" s="29">
        <f>'Rail CAPEX'!N66</f>
        <v>0</v>
      </c>
      <c r="O52" s="29">
        <f>'Rail CAPEX'!O66</f>
        <v>0</v>
      </c>
      <c r="P52" s="84">
        <f t="shared" si="16"/>
        <v>0</v>
      </c>
      <c r="Q52" s="37">
        <f>'Rail CAPEX'!Q66</f>
        <v>0</v>
      </c>
      <c r="R52" s="29">
        <f>'Rail CAPEX'!R66</f>
        <v>0</v>
      </c>
      <c r="S52" s="29">
        <f>'Rail CAPEX'!S66</f>
        <v>0</v>
      </c>
      <c r="T52" s="84">
        <f t="shared" si="17"/>
        <v>0</v>
      </c>
      <c r="U52" s="37">
        <f>'Rail CAPEX'!U66</f>
        <v>0</v>
      </c>
      <c r="V52" s="29">
        <f>'Rail CAPEX'!V66</f>
        <v>0</v>
      </c>
      <c r="W52" s="29">
        <f>'Rail CAPEX'!W66</f>
        <v>0</v>
      </c>
      <c r="X52" s="84">
        <f t="shared" si="18"/>
        <v>0</v>
      </c>
      <c r="Y52" s="37">
        <f>'Rail CAPEX'!Y66</f>
        <v>0</v>
      </c>
      <c r="Z52" s="29">
        <f>'Rail CAPEX'!Z66</f>
        <v>0</v>
      </c>
      <c r="AA52" s="29">
        <f>'Rail CAPEX'!AA66</f>
        <v>0</v>
      </c>
      <c r="AB52" s="84">
        <f t="shared" si="19"/>
        <v>0</v>
      </c>
    </row>
    <row r="53" spans="2:28" ht="9.75">
      <c r="B53" s="70" t="str">
        <f>rail11</f>
        <v>Route 11</v>
      </c>
      <c r="C53" s="37">
        <f t="shared" si="12"/>
        <v>0</v>
      </c>
      <c r="D53" s="39">
        <f t="shared" si="13"/>
        <v>0</v>
      </c>
      <c r="E53" s="37">
        <f>'Rail CAPEX'!E67</f>
        <v>0</v>
      </c>
      <c r="F53" s="29">
        <f>'Rail CAPEX'!F67</f>
        <v>0</v>
      </c>
      <c r="G53" s="29">
        <f>'Rail CAPEX'!G67</f>
        <v>0</v>
      </c>
      <c r="H53" s="84">
        <f t="shared" si="14"/>
        <v>0</v>
      </c>
      <c r="I53" s="37">
        <f>'Rail CAPEX'!I67</f>
        <v>0</v>
      </c>
      <c r="J53" s="29">
        <f>'Rail CAPEX'!J67</f>
        <v>0</v>
      </c>
      <c r="K53" s="29">
        <f>'Rail CAPEX'!K67</f>
        <v>0</v>
      </c>
      <c r="L53" s="84">
        <f t="shared" si="15"/>
        <v>0</v>
      </c>
      <c r="M53" s="37">
        <f>'Rail CAPEX'!M67</f>
        <v>0</v>
      </c>
      <c r="N53" s="29">
        <f>'Rail CAPEX'!N67</f>
        <v>0</v>
      </c>
      <c r="O53" s="29">
        <f>'Rail CAPEX'!O67</f>
        <v>0</v>
      </c>
      <c r="P53" s="84">
        <f t="shared" si="16"/>
        <v>0</v>
      </c>
      <c r="Q53" s="37">
        <f>'Rail CAPEX'!Q67</f>
        <v>0</v>
      </c>
      <c r="R53" s="29">
        <f>'Rail CAPEX'!R67</f>
        <v>0</v>
      </c>
      <c r="S53" s="29">
        <f>'Rail CAPEX'!S67</f>
        <v>0</v>
      </c>
      <c r="T53" s="84">
        <f t="shared" si="17"/>
        <v>0</v>
      </c>
      <c r="U53" s="37">
        <f>'Rail CAPEX'!U67</f>
        <v>0</v>
      </c>
      <c r="V53" s="29">
        <f>'Rail CAPEX'!V67</f>
        <v>0</v>
      </c>
      <c r="W53" s="29">
        <f>'Rail CAPEX'!W67</f>
        <v>0</v>
      </c>
      <c r="X53" s="84">
        <f t="shared" si="18"/>
        <v>0</v>
      </c>
      <c r="Y53" s="37">
        <f>'Rail CAPEX'!Y67</f>
        <v>0</v>
      </c>
      <c r="Z53" s="29">
        <f>'Rail CAPEX'!Z67</f>
        <v>0</v>
      </c>
      <c r="AA53" s="29">
        <f>'Rail CAPEX'!AA67</f>
        <v>0</v>
      </c>
      <c r="AB53" s="84">
        <f t="shared" si="19"/>
        <v>0</v>
      </c>
    </row>
    <row r="54" spans="2:28" ht="9.75">
      <c r="B54" s="70" t="str">
        <f>rail12</f>
        <v>Route 12</v>
      </c>
      <c r="C54" s="37">
        <f t="shared" si="12"/>
        <v>0</v>
      </c>
      <c r="D54" s="39">
        <f t="shared" si="13"/>
        <v>0</v>
      </c>
      <c r="E54" s="37">
        <f>'Rail CAPEX'!E68</f>
        <v>0</v>
      </c>
      <c r="F54" s="29">
        <f>'Rail CAPEX'!F68</f>
        <v>0</v>
      </c>
      <c r="G54" s="29">
        <f>'Rail CAPEX'!G68</f>
        <v>0</v>
      </c>
      <c r="H54" s="84">
        <f t="shared" si="14"/>
        <v>0</v>
      </c>
      <c r="I54" s="37">
        <f>'Rail CAPEX'!I68</f>
        <v>0</v>
      </c>
      <c r="J54" s="29">
        <f>'Rail CAPEX'!J68</f>
        <v>0</v>
      </c>
      <c r="K54" s="29">
        <f>'Rail CAPEX'!K68</f>
        <v>0</v>
      </c>
      <c r="L54" s="84">
        <f t="shared" si="15"/>
        <v>0</v>
      </c>
      <c r="M54" s="37">
        <f>'Rail CAPEX'!M68</f>
        <v>0</v>
      </c>
      <c r="N54" s="29">
        <f>'Rail CAPEX'!N68</f>
        <v>0</v>
      </c>
      <c r="O54" s="29">
        <f>'Rail CAPEX'!O68</f>
        <v>0</v>
      </c>
      <c r="P54" s="84">
        <f t="shared" si="16"/>
        <v>0</v>
      </c>
      <c r="Q54" s="37">
        <f>'Rail CAPEX'!Q68</f>
        <v>0</v>
      </c>
      <c r="R54" s="29">
        <f>'Rail CAPEX'!R68</f>
        <v>0</v>
      </c>
      <c r="S54" s="29">
        <f>'Rail CAPEX'!S68</f>
        <v>0</v>
      </c>
      <c r="T54" s="84">
        <f t="shared" si="17"/>
        <v>0</v>
      </c>
      <c r="U54" s="37">
        <f>'Rail CAPEX'!U68</f>
        <v>0</v>
      </c>
      <c r="V54" s="29">
        <f>'Rail CAPEX'!V68</f>
        <v>0</v>
      </c>
      <c r="W54" s="29">
        <f>'Rail CAPEX'!W68</f>
        <v>0</v>
      </c>
      <c r="X54" s="84">
        <f t="shared" si="18"/>
        <v>0</v>
      </c>
      <c r="Y54" s="37">
        <f>'Rail CAPEX'!Y68</f>
        <v>0</v>
      </c>
      <c r="Z54" s="29">
        <f>'Rail CAPEX'!Z68</f>
        <v>0</v>
      </c>
      <c r="AA54" s="29">
        <f>'Rail CAPEX'!AA68</f>
        <v>0</v>
      </c>
      <c r="AB54" s="84">
        <f t="shared" si="19"/>
        <v>0</v>
      </c>
    </row>
    <row r="55" spans="2:28" ht="9.75">
      <c r="B55" s="70" t="str">
        <f>rail13</f>
        <v>Route 13</v>
      </c>
      <c r="C55" s="37">
        <f t="shared" si="12"/>
        <v>0</v>
      </c>
      <c r="D55" s="39">
        <f t="shared" si="13"/>
        <v>0</v>
      </c>
      <c r="E55" s="37">
        <f>'Rail CAPEX'!E69</f>
        <v>0</v>
      </c>
      <c r="F55" s="29">
        <f>'Rail CAPEX'!F69</f>
        <v>0</v>
      </c>
      <c r="G55" s="29">
        <f>'Rail CAPEX'!G69</f>
        <v>0</v>
      </c>
      <c r="H55" s="84">
        <f t="shared" si="14"/>
        <v>0</v>
      </c>
      <c r="I55" s="37">
        <f>'Rail CAPEX'!I69</f>
        <v>0</v>
      </c>
      <c r="J55" s="29">
        <f>'Rail CAPEX'!J69</f>
        <v>0</v>
      </c>
      <c r="K55" s="29">
        <f>'Rail CAPEX'!K69</f>
        <v>0</v>
      </c>
      <c r="L55" s="84">
        <f t="shared" si="15"/>
        <v>0</v>
      </c>
      <c r="M55" s="37">
        <f>'Rail CAPEX'!M69</f>
        <v>0</v>
      </c>
      <c r="N55" s="29">
        <f>'Rail CAPEX'!N69</f>
        <v>0</v>
      </c>
      <c r="O55" s="29">
        <f>'Rail CAPEX'!O69</f>
        <v>0</v>
      </c>
      <c r="P55" s="84">
        <f t="shared" si="16"/>
        <v>0</v>
      </c>
      <c r="Q55" s="37">
        <f>'Rail CAPEX'!Q69</f>
        <v>0</v>
      </c>
      <c r="R55" s="29">
        <f>'Rail CAPEX'!R69</f>
        <v>0</v>
      </c>
      <c r="S55" s="29">
        <f>'Rail CAPEX'!S69</f>
        <v>0</v>
      </c>
      <c r="T55" s="84">
        <f t="shared" si="17"/>
        <v>0</v>
      </c>
      <c r="U55" s="37">
        <f>'Rail CAPEX'!U69</f>
        <v>0</v>
      </c>
      <c r="V55" s="29">
        <f>'Rail CAPEX'!V69</f>
        <v>0</v>
      </c>
      <c r="W55" s="29">
        <f>'Rail CAPEX'!W69</f>
        <v>0</v>
      </c>
      <c r="X55" s="84">
        <f t="shared" si="18"/>
        <v>0</v>
      </c>
      <c r="Y55" s="37">
        <f>'Rail CAPEX'!Y69</f>
        <v>0</v>
      </c>
      <c r="Z55" s="29">
        <f>'Rail CAPEX'!Z69</f>
        <v>0</v>
      </c>
      <c r="AA55" s="29">
        <f>'Rail CAPEX'!AA69</f>
        <v>0</v>
      </c>
      <c r="AB55" s="84">
        <f t="shared" si="19"/>
        <v>0</v>
      </c>
    </row>
    <row r="56" spans="2:28" ht="9.75">
      <c r="B56" s="70" t="str">
        <f>rail14</f>
        <v>Route 14</v>
      </c>
      <c r="C56" s="37">
        <f t="shared" si="12"/>
        <v>0</v>
      </c>
      <c r="D56" s="39">
        <f t="shared" si="13"/>
        <v>0</v>
      </c>
      <c r="E56" s="37">
        <f>'Rail CAPEX'!E70</f>
        <v>0</v>
      </c>
      <c r="F56" s="29">
        <f>'Rail CAPEX'!F70</f>
        <v>0</v>
      </c>
      <c r="G56" s="29">
        <f>'Rail CAPEX'!G70</f>
        <v>0</v>
      </c>
      <c r="H56" s="84">
        <f t="shared" si="14"/>
        <v>0</v>
      </c>
      <c r="I56" s="37">
        <f>'Rail CAPEX'!I70</f>
        <v>0</v>
      </c>
      <c r="J56" s="29">
        <f>'Rail CAPEX'!J70</f>
        <v>0</v>
      </c>
      <c r="K56" s="29">
        <f>'Rail CAPEX'!K70</f>
        <v>0</v>
      </c>
      <c r="L56" s="84">
        <f t="shared" si="15"/>
        <v>0</v>
      </c>
      <c r="M56" s="37">
        <f>'Rail CAPEX'!M70</f>
        <v>0</v>
      </c>
      <c r="N56" s="29">
        <f>'Rail CAPEX'!N70</f>
        <v>0</v>
      </c>
      <c r="O56" s="29">
        <f>'Rail CAPEX'!O70</f>
        <v>0</v>
      </c>
      <c r="P56" s="84">
        <f t="shared" si="16"/>
        <v>0</v>
      </c>
      <c r="Q56" s="37">
        <f>'Rail CAPEX'!Q70</f>
        <v>0</v>
      </c>
      <c r="R56" s="29">
        <f>'Rail CAPEX'!R70</f>
        <v>0</v>
      </c>
      <c r="S56" s="29">
        <f>'Rail CAPEX'!S70</f>
        <v>0</v>
      </c>
      <c r="T56" s="84">
        <f t="shared" si="17"/>
        <v>0</v>
      </c>
      <c r="U56" s="37">
        <f>'Rail CAPEX'!U70</f>
        <v>0</v>
      </c>
      <c r="V56" s="29">
        <f>'Rail CAPEX'!V70</f>
        <v>0</v>
      </c>
      <c r="W56" s="29">
        <f>'Rail CAPEX'!W70</f>
        <v>0</v>
      </c>
      <c r="X56" s="84">
        <f t="shared" si="18"/>
        <v>0</v>
      </c>
      <c r="Y56" s="37">
        <f>'Rail CAPEX'!Y70</f>
        <v>0</v>
      </c>
      <c r="Z56" s="29">
        <f>'Rail CAPEX'!Z70</f>
        <v>0</v>
      </c>
      <c r="AA56" s="29">
        <f>'Rail CAPEX'!AA70</f>
        <v>0</v>
      </c>
      <c r="AB56" s="84">
        <f t="shared" si="19"/>
        <v>0</v>
      </c>
    </row>
    <row r="57" spans="2:28" ht="9.75">
      <c r="B57" s="70" t="str">
        <f>rail15</f>
        <v>Route 15</v>
      </c>
      <c r="C57" s="37">
        <f t="shared" si="12"/>
        <v>0</v>
      </c>
      <c r="D57" s="39">
        <f t="shared" si="13"/>
        <v>0</v>
      </c>
      <c r="E57" s="37">
        <f>'Rail CAPEX'!E71</f>
        <v>0</v>
      </c>
      <c r="F57" s="29">
        <f>'Rail CAPEX'!F71</f>
        <v>0</v>
      </c>
      <c r="G57" s="29">
        <f>'Rail CAPEX'!G71</f>
        <v>0</v>
      </c>
      <c r="H57" s="84">
        <f t="shared" si="14"/>
        <v>0</v>
      </c>
      <c r="I57" s="37">
        <f>'Rail CAPEX'!I71</f>
        <v>0</v>
      </c>
      <c r="J57" s="29">
        <f>'Rail CAPEX'!J71</f>
        <v>0</v>
      </c>
      <c r="K57" s="29">
        <f>'Rail CAPEX'!K71</f>
        <v>0</v>
      </c>
      <c r="L57" s="84">
        <f t="shared" si="15"/>
        <v>0</v>
      </c>
      <c r="M57" s="37">
        <f>'Rail CAPEX'!M71</f>
        <v>0</v>
      </c>
      <c r="N57" s="29">
        <f>'Rail CAPEX'!N71</f>
        <v>0</v>
      </c>
      <c r="O57" s="29">
        <f>'Rail CAPEX'!O71</f>
        <v>0</v>
      </c>
      <c r="P57" s="84">
        <f t="shared" si="16"/>
        <v>0</v>
      </c>
      <c r="Q57" s="37">
        <f>'Rail CAPEX'!Q71</f>
        <v>0</v>
      </c>
      <c r="R57" s="29">
        <f>'Rail CAPEX'!R71</f>
        <v>0</v>
      </c>
      <c r="S57" s="29">
        <f>'Rail CAPEX'!S71</f>
        <v>0</v>
      </c>
      <c r="T57" s="84">
        <f t="shared" si="17"/>
        <v>0</v>
      </c>
      <c r="U57" s="37">
        <f>'Rail CAPEX'!U71</f>
        <v>0</v>
      </c>
      <c r="V57" s="29">
        <f>'Rail CAPEX'!V71</f>
        <v>0</v>
      </c>
      <c r="W57" s="29">
        <f>'Rail CAPEX'!W71</f>
        <v>0</v>
      </c>
      <c r="X57" s="84">
        <f t="shared" si="18"/>
        <v>0</v>
      </c>
      <c r="Y57" s="37">
        <f>'Rail CAPEX'!Y71</f>
        <v>0</v>
      </c>
      <c r="Z57" s="29">
        <f>'Rail CAPEX'!Z71</f>
        <v>0</v>
      </c>
      <c r="AA57" s="29">
        <f>'Rail CAPEX'!AA71</f>
        <v>0</v>
      </c>
      <c r="AB57" s="84">
        <f t="shared" si="19"/>
        <v>0</v>
      </c>
    </row>
    <row r="58" spans="2:28" ht="9.75">
      <c r="B58" s="70" t="str">
        <f>rail16</f>
        <v>Route 16</v>
      </c>
      <c r="C58" s="37">
        <f t="shared" si="12"/>
        <v>0</v>
      </c>
      <c r="D58" s="39">
        <f t="shared" si="13"/>
        <v>0</v>
      </c>
      <c r="E58" s="37">
        <f>'Rail CAPEX'!E72</f>
        <v>0</v>
      </c>
      <c r="F58" s="29">
        <f>'Rail CAPEX'!F72</f>
        <v>0</v>
      </c>
      <c r="G58" s="29">
        <f>'Rail CAPEX'!G72</f>
        <v>0</v>
      </c>
      <c r="H58" s="84">
        <f t="shared" si="14"/>
        <v>0</v>
      </c>
      <c r="I58" s="37">
        <f>'Rail CAPEX'!I72</f>
        <v>0</v>
      </c>
      <c r="J58" s="29">
        <f>'Rail CAPEX'!J72</f>
        <v>0</v>
      </c>
      <c r="K58" s="29">
        <f>'Rail CAPEX'!K72</f>
        <v>0</v>
      </c>
      <c r="L58" s="84">
        <f t="shared" si="15"/>
        <v>0</v>
      </c>
      <c r="M58" s="37">
        <f>'Rail CAPEX'!M72</f>
        <v>0</v>
      </c>
      <c r="N58" s="29">
        <f>'Rail CAPEX'!N72</f>
        <v>0</v>
      </c>
      <c r="O58" s="29">
        <f>'Rail CAPEX'!O72</f>
        <v>0</v>
      </c>
      <c r="P58" s="84">
        <f t="shared" si="16"/>
        <v>0</v>
      </c>
      <c r="Q58" s="37">
        <f>'Rail CAPEX'!Q72</f>
        <v>0</v>
      </c>
      <c r="R58" s="29">
        <f>'Rail CAPEX'!R72</f>
        <v>0</v>
      </c>
      <c r="S58" s="29">
        <f>'Rail CAPEX'!S72</f>
        <v>0</v>
      </c>
      <c r="T58" s="84">
        <f t="shared" si="17"/>
        <v>0</v>
      </c>
      <c r="U58" s="37">
        <f>'Rail CAPEX'!U72</f>
        <v>0</v>
      </c>
      <c r="V58" s="29">
        <f>'Rail CAPEX'!V72</f>
        <v>0</v>
      </c>
      <c r="W58" s="29">
        <f>'Rail CAPEX'!W72</f>
        <v>0</v>
      </c>
      <c r="X58" s="84">
        <f t="shared" si="18"/>
        <v>0</v>
      </c>
      <c r="Y58" s="37">
        <f>'Rail CAPEX'!Y72</f>
        <v>0</v>
      </c>
      <c r="Z58" s="29">
        <f>'Rail CAPEX'!Z72</f>
        <v>0</v>
      </c>
      <c r="AA58" s="29">
        <f>'Rail CAPEX'!AA72</f>
        <v>0</v>
      </c>
      <c r="AB58" s="84">
        <f t="shared" si="19"/>
        <v>0</v>
      </c>
    </row>
    <row r="59" spans="2:28" ht="9.75">
      <c r="B59" s="70" t="str">
        <f>rail17</f>
        <v>Route 17</v>
      </c>
      <c r="C59" s="37">
        <f t="shared" si="12"/>
        <v>0</v>
      </c>
      <c r="D59" s="39">
        <f t="shared" si="13"/>
        <v>0</v>
      </c>
      <c r="E59" s="37">
        <f>'Rail CAPEX'!E73</f>
        <v>0</v>
      </c>
      <c r="F59" s="29">
        <f>'Rail CAPEX'!F73</f>
        <v>0</v>
      </c>
      <c r="G59" s="29">
        <f>'Rail CAPEX'!G73</f>
        <v>0</v>
      </c>
      <c r="H59" s="84">
        <f t="shared" si="14"/>
        <v>0</v>
      </c>
      <c r="I59" s="37">
        <f>'Rail CAPEX'!I73</f>
        <v>0</v>
      </c>
      <c r="J59" s="29">
        <f>'Rail CAPEX'!J73</f>
        <v>0</v>
      </c>
      <c r="K59" s="29">
        <f>'Rail CAPEX'!K73</f>
        <v>0</v>
      </c>
      <c r="L59" s="84">
        <f t="shared" si="15"/>
        <v>0</v>
      </c>
      <c r="M59" s="37">
        <f>'Rail CAPEX'!M73</f>
        <v>0</v>
      </c>
      <c r="N59" s="29">
        <f>'Rail CAPEX'!N73</f>
        <v>0</v>
      </c>
      <c r="O59" s="29">
        <f>'Rail CAPEX'!O73</f>
        <v>0</v>
      </c>
      <c r="P59" s="84">
        <f t="shared" si="16"/>
        <v>0</v>
      </c>
      <c r="Q59" s="37">
        <f>'Rail CAPEX'!Q73</f>
        <v>0</v>
      </c>
      <c r="R59" s="29">
        <f>'Rail CAPEX'!R73</f>
        <v>0</v>
      </c>
      <c r="S59" s="29">
        <f>'Rail CAPEX'!S73</f>
        <v>0</v>
      </c>
      <c r="T59" s="84">
        <f t="shared" si="17"/>
        <v>0</v>
      </c>
      <c r="U59" s="37">
        <f>'Rail CAPEX'!U73</f>
        <v>0</v>
      </c>
      <c r="V59" s="29">
        <f>'Rail CAPEX'!V73</f>
        <v>0</v>
      </c>
      <c r="W59" s="29">
        <f>'Rail CAPEX'!W73</f>
        <v>0</v>
      </c>
      <c r="X59" s="84">
        <f t="shared" si="18"/>
        <v>0</v>
      </c>
      <c r="Y59" s="37">
        <f>'Rail CAPEX'!Y73</f>
        <v>0</v>
      </c>
      <c r="Z59" s="29">
        <f>'Rail CAPEX'!Z73</f>
        <v>0</v>
      </c>
      <c r="AA59" s="29">
        <f>'Rail CAPEX'!AA73</f>
        <v>0</v>
      </c>
      <c r="AB59" s="84">
        <f t="shared" si="19"/>
        <v>0</v>
      </c>
    </row>
    <row r="60" spans="2:28" ht="9.75">
      <c r="B60" s="70" t="str">
        <f>rail18</f>
        <v>Route 18</v>
      </c>
      <c r="C60" s="37">
        <f t="shared" si="12"/>
        <v>0</v>
      </c>
      <c r="D60" s="39">
        <f t="shared" si="13"/>
        <v>0</v>
      </c>
      <c r="E60" s="37">
        <f>'Rail CAPEX'!E74</f>
        <v>0</v>
      </c>
      <c r="F60" s="29">
        <f>'Rail CAPEX'!F74</f>
        <v>0</v>
      </c>
      <c r="G60" s="29">
        <f>'Rail CAPEX'!G74</f>
        <v>0</v>
      </c>
      <c r="H60" s="84">
        <f t="shared" si="14"/>
        <v>0</v>
      </c>
      <c r="I60" s="37">
        <f>'Rail CAPEX'!I74</f>
        <v>0</v>
      </c>
      <c r="J60" s="29">
        <f>'Rail CAPEX'!J74</f>
        <v>0</v>
      </c>
      <c r="K60" s="29">
        <f>'Rail CAPEX'!K74</f>
        <v>0</v>
      </c>
      <c r="L60" s="84">
        <f t="shared" si="15"/>
        <v>0</v>
      </c>
      <c r="M60" s="37">
        <f>'Rail CAPEX'!M74</f>
        <v>0</v>
      </c>
      <c r="N60" s="29">
        <f>'Rail CAPEX'!N74</f>
        <v>0</v>
      </c>
      <c r="O60" s="29">
        <f>'Rail CAPEX'!O74</f>
        <v>0</v>
      </c>
      <c r="P60" s="84">
        <f t="shared" si="16"/>
        <v>0</v>
      </c>
      <c r="Q60" s="37">
        <f>'Rail CAPEX'!Q74</f>
        <v>0</v>
      </c>
      <c r="R60" s="29">
        <f>'Rail CAPEX'!R74</f>
        <v>0</v>
      </c>
      <c r="S60" s="29">
        <f>'Rail CAPEX'!S74</f>
        <v>0</v>
      </c>
      <c r="T60" s="84">
        <f t="shared" si="17"/>
        <v>0</v>
      </c>
      <c r="U60" s="37">
        <f>'Rail CAPEX'!U74</f>
        <v>0</v>
      </c>
      <c r="V60" s="29">
        <f>'Rail CAPEX'!V74</f>
        <v>0</v>
      </c>
      <c r="W60" s="29">
        <f>'Rail CAPEX'!W74</f>
        <v>0</v>
      </c>
      <c r="X60" s="84">
        <f t="shared" si="18"/>
        <v>0</v>
      </c>
      <c r="Y60" s="37">
        <f>'Rail CAPEX'!Y74</f>
        <v>0</v>
      </c>
      <c r="Z60" s="29">
        <f>'Rail CAPEX'!Z74</f>
        <v>0</v>
      </c>
      <c r="AA60" s="29">
        <f>'Rail CAPEX'!AA74</f>
        <v>0</v>
      </c>
      <c r="AB60" s="84">
        <f t="shared" si="19"/>
        <v>0</v>
      </c>
    </row>
    <row r="61" spans="2:28" ht="9.75">
      <c r="B61" s="70" t="str">
        <f>rail19</f>
        <v>Route 19</v>
      </c>
      <c r="C61" s="37">
        <f t="shared" si="12"/>
        <v>0</v>
      </c>
      <c r="D61" s="39">
        <f t="shared" si="13"/>
        <v>0</v>
      </c>
      <c r="E61" s="37">
        <f>'Rail CAPEX'!E75</f>
        <v>0</v>
      </c>
      <c r="F61" s="29">
        <f>'Rail CAPEX'!F75</f>
        <v>0</v>
      </c>
      <c r="G61" s="29">
        <f>'Rail CAPEX'!G75</f>
        <v>0</v>
      </c>
      <c r="H61" s="84">
        <f t="shared" si="14"/>
        <v>0</v>
      </c>
      <c r="I61" s="37">
        <f>'Rail CAPEX'!I75</f>
        <v>0</v>
      </c>
      <c r="J61" s="29">
        <f>'Rail CAPEX'!J75</f>
        <v>0</v>
      </c>
      <c r="K61" s="29">
        <f>'Rail CAPEX'!K75</f>
        <v>0</v>
      </c>
      <c r="L61" s="84">
        <f t="shared" si="15"/>
        <v>0</v>
      </c>
      <c r="M61" s="37">
        <f>'Rail CAPEX'!M75</f>
        <v>0</v>
      </c>
      <c r="N61" s="29">
        <f>'Rail CAPEX'!N75</f>
        <v>0</v>
      </c>
      <c r="O61" s="29">
        <f>'Rail CAPEX'!O75</f>
        <v>0</v>
      </c>
      <c r="P61" s="84">
        <f t="shared" si="16"/>
        <v>0</v>
      </c>
      <c r="Q61" s="37">
        <f>'Rail CAPEX'!Q75</f>
        <v>0</v>
      </c>
      <c r="R61" s="29">
        <f>'Rail CAPEX'!R75</f>
        <v>0</v>
      </c>
      <c r="S61" s="29">
        <f>'Rail CAPEX'!S75</f>
        <v>0</v>
      </c>
      <c r="T61" s="84">
        <f t="shared" si="17"/>
        <v>0</v>
      </c>
      <c r="U61" s="37">
        <f>'Rail CAPEX'!U75</f>
        <v>0</v>
      </c>
      <c r="V61" s="29">
        <f>'Rail CAPEX'!V75</f>
        <v>0</v>
      </c>
      <c r="W61" s="29">
        <f>'Rail CAPEX'!W75</f>
        <v>0</v>
      </c>
      <c r="X61" s="84">
        <f t="shared" si="18"/>
        <v>0</v>
      </c>
      <c r="Y61" s="37">
        <f>'Rail CAPEX'!Y75</f>
        <v>0</v>
      </c>
      <c r="Z61" s="29">
        <f>'Rail CAPEX'!Z75</f>
        <v>0</v>
      </c>
      <c r="AA61" s="29">
        <f>'Rail CAPEX'!AA75</f>
        <v>0</v>
      </c>
      <c r="AB61" s="84">
        <f t="shared" si="19"/>
        <v>0</v>
      </c>
    </row>
    <row r="62" spans="2:28" ht="10.5" thickBot="1">
      <c r="B62" s="71" t="str">
        <f>rail20</f>
        <v>Route 20</v>
      </c>
      <c r="C62" s="37">
        <f t="shared" si="12"/>
        <v>0</v>
      </c>
      <c r="D62" s="39">
        <f t="shared" si="13"/>
        <v>0</v>
      </c>
      <c r="E62" s="37">
        <f>'Rail CAPEX'!E76</f>
        <v>0</v>
      </c>
      <c r="F62" s="29">
        <f>'Rail CAPEX'!F76</f>
        <v>0</v>
      </c>
      <c r="G62" s="29">
        <f>'Rail CAPEX'!G76</f>
        <v>0</v>
      </c>
      <c r="H62" s="84">
        <f t="shared" si="14"/>
        <v>0</v>
      </c>
      <c r="I62" s="37">
        <f>'Rail CAPEX'!I76</f>
        <v>0</v>
      </c>
      <c r="J62" s="29">
        <f>'Rail CAPEX'!J76</f>
        <v>0</v>
      </c>
      <c r="K62" s="29">
        <f>'Rail CAPEX'!K76</f>
        <v>0</v>
      </c>
      <c r="L62" s="84">
        <f t="shared" si="15"/>
        <v>0</v>
      </c>
      <c r="M62" s="37">
        <f>'Rail CAPEX'!M76</f>
        <v>0</v>
      </c>
      <c r="N62" s="29">
        <f>'Rail CAPEX'!N76</f>
        <v>0</v>
      </c>
      <c r="O62" s="29">
        <f>'Rail CAPEX'!O76</f>
        <v>0</v>
      </c>
      <c r="P62" s="84">
        <f t="shared" si="16"/>
        <v>0</v>
      </c>
      <c r="Q62" s="37">
        <f>'Rail CAPEX'!Q76</f>
        <v>0</v>
      </c>
      <c r="R62" s="29">
        <f>'Rail CAPEX'!R76</f>
        <v>0</v>
      </c>
      <c r="S62" s="29">
        <f>'Rail CAPEX'!S76</f>
        <v>0</v>
      </c>
      <c r="T62" s="84">
        <f t="shared" si="17"/>
        <v>0</v>
      </c>
      <c r="U62" s="37">
        <f>'Rail CAPEX'!U76</f>
        <v>0</v>
      </c>
      <c r="V62" s="29">
        <f>'Rail CAPEX'!V76</f>
        <v>0</v>
      </c>
      <c r="W62" s="29">
        <f>'Rail CAPEX'!W76</f>
        <v>0</v>
      </c>
      <c r="X62" s="84">
        <f t="shared" si="18"/>
        <v>0</v>
      </c>
      <c r="Y62" s="37">
        <f>'Rail CAPEX'!Y76</f>
        <v>0</v>
      </c>
      <c r="Z62" s="29">
        <f>'Rail CAPEX'!Z76</f>
        <v>0</v>
      </c>
      <c r="AA62" s="29">
        <f>'Rail CAPEX'!AA76</f>
        <v>0</v>
      </c>
      <c r="AB62" s="84">
        <f t="shared" si="19"/>
        <v>0</v>
      </c>
    </row>
    <row r="63" spans="3:28" ht="10.5" thickBot="1">
      <c r="C63" s="88">
        <f>SUM(C41:C62)</f>
        <v>273534</v>
      </c>
      <c r="D63" s="52">
        <f>SUM(D41:D62)</f>
        <v>1</v>
      </c>
      <c r="E63" s="80">
        <f>SUM(E43:E62)</f>
        <v>3996861.3409255287</v>
      </c>
      <c r="F63" s="80">
        <f>SUM(F43:F62)</f>
        <v>0</v>
      </c>
      <c r="G63" s="80">
        <f>SUM(G41:G62)</f>
        <v>0</v>
      </c>
      <c r="H63" s="86">
        <f>SUM(H41:H62)</f>
        <v>3996861.3409255287</v>
      </c>
      <c r="I63" s="80">
        <f>SUM(I43:I62)</f>
        <v>17536122.984612033</v>
      </c>
      <c r="J63" s="80">
        <f>SUM(J43:J62)</f>
        <v>0</v>
      </c>
      <c r="K63" s="80">
        <f>SUM(K41:K62)</f>
        <v>0</v>
      </c>
      <c r="L63" s="86">
        <f>SUM(L41:L62)</f>
        <v>17536122.984612033</v>
      </c>
      <c r="M63" s="80">
        <f>SUM(M43:M62)</f>
        <v>17536122.984612033</v>
      </c>
      <c r="N63" s="80">
        <f>SUM(N43:N62)</f>
        <v>0</v>
      </c>
      <c r="O63" s="80">
        <f>SUM(O41:O62)</f>
        <v>0</v>
      </c>
      <c r="P63" s="86">
        <f>SUM(P41:P62)</f>
        <v>17536122.984612033</v>
      </c>
      <c r="Q63" s="80">
        <f>SUM(Q43:Q62)</f>
        <v>17536122.984612033</v>
      </c>
      <c r="R63" s="80">
        <f>SUM(R43:R62)</f>
        <v>0</v>
      </c>
      <c r="S63" s="80">
        <f>SUM(S41:S62)</f>
        <v>0</v>
      </c>
      <c r="T63" s="86">
        <f>SUM(T41:T62)</f>
        <v>17536122.984612033</v>
      </c>
      <c r="U63" s="80">
        <f>SUM(U43:U62)</f>
        <v>17536122.984612033</v>
      </c>
      <c r="V63" s="80">
        <f>SUM(V43:V62)</f>
        <v>0</v>
      </c>
      <c r="W63" s="80">
        <f>SUM(W41:W62)</f>
        <v>0</v>
      </c>
      <c r="X63" s="86">
        <f>SUM(X41:X62)</f>
        <v>17536122.984612033</v>
      </c>
      <c r="Y63" s="80">
        <f>SUM(Y43:Y62)</f>
        <v>17536122.984612033</v>
      </c>
      <c r="Z63" s="80">
        <f>SUM(Z43:Z62)</f>
        <v>0</v>
      </c>
      <c r="AA63" s="80">
        <f>SUM(AA41:AA62)</f>
        <v>0</v>
      </c>
      <c r="AB63" s="86">
        <f>SUM(AB41:AB62)</f>
        <v>17536122.984612033</v>
      </c>
    </row>
    <row r="64" spans="3:4" ht="9.75">
      <c r="C64" s="1" t="s">
        <v>36</v>
      </c>
      <c r="D64" s="1" t="s">
        <v>143</v>
      </c>
    </row>
    <row r="66" spans="1:2" ht="9.75">
      <c r="A66" s="198" t="str">
        <f>HYPERLINK(CONCATENATE(workbookname,"$A$1"),"Top")</f>
        <v>Top</v>
      </c>
      <c r="B66" s="2" t="s">
        <v>225</v>
      </c>
    </row>
    <row r="67" ht="10.5" thickBot="1">
      <c r="B67" s="171" t="str">
        <f>Contents!D77</f>
        <v>Asymmetric risk calculated off the capital associated with the rail network</v>
      </c>
    </row>
    <row r="68" spans="2:14" ht="33.75" customHeight="1" thickBot="1">
      <c r="B68" s="141"/>
      <c r="C68" s="247" t="s">
        <v>210</v>
      </c>
      <c r="D68" s="248"/>
      <c r="E68" s="248"/>
      <c r="F68" s="248"/>
      <c r="G68" s="248"/>
      <c r="H68" s="249"/>
      <c r="I68" s="247" t="s">
        <v>211</v>
      </c>
      <c r="J68" s="248"/>
      <c r="K68" s="248"/>
      <c r="L68" s="248"/>
      <c r="M68" s="248"/>
      <c r="N68" s="249"/>
    </row>
    <row r="69" spans="2:14" ht="9.75">
      <c r="B69" s="35" t="s">
        <v>586</v>
      </c>
      <c r="C69" s="144">
        <f>1</f>
        <v>1</v>
      </c>
      <c r="D69" s="145">
        <f>C69*(1+inflation)</f>
        <v>1.03</v>
      </c>
      <c r="E69" s="145">
        <f>D69*(1+inflation)</f>
        <v>1.0609</v>
      </c>
      <c r="F69" s="145">
        <f>E69*(1+inflation)</f>
        <v>1.092727</v>
      </c>
      <c r="G69" s="145">
        <f>F69*(1+inflation)</f>
        <v>1.1255088100000001</v>
      </c>
      <c r="H69" s="146">
        <f>G69*(1+inflation)</f>
        <v>1.1592740743</v>
      </c>
      <c r="I69" s="144">
        <f>1</f>
        <v>1</v>
      </c>
      <c r="J69" s="145">
        <f>I69*(1+inflation)</f>
        <v>1.03</v>
      </c>
      <c r="K69" s="145">
        <f>J69*(1+inflation)</f>
        <v>1.0609</v>
      </c>
      <c r="L69" s="145">
        <f>K69*(1+inflation)</f>
        <v>1.092727</v>
      </c>
      <c r="M69" s="145">
        <f>L69*(1+inflation)</f>
        <v>1.1255088100000001</v>
      </c>
      <c r="N69" s="146">
        <f>M69*(1+inflation)</f>
        <v>1.1592740743</v>
      </c>
    </row>
    <row r="70" spans="2:14" ht="10.5" thickBot="1">
      <c r="B70" s="35" t="s">
        <v>100</v>
      </c>
      <c r="C70" s="101">
        <f aca="true" t="shared" si="20" ref="C70:N70">ariskrail*C$69</f>
        <v>2490007</v>
      </c>
      <c r="D70" s="97">
        <f t="shared" si="20"/>
        <v>2564707.21</v>
      </c>
      <c r="E70" s="97">
        <f t="shared" si="20"/>
        <v>2641648.4263</v>
      </c>
      <c r="F70" s="97">
        <f t="shared" si="20"/>
        <v>2720897.879089</v>
      </c>
      <c r="G70" s="97">
        <f t="shared" si="20"/>
        <v>2802524.8154616705</v>
      </c>
      <c r="H70" s="102">
        <f t="shared" si="20"/>
        <v>2886600.5599255203</v>
      </c>
      <c r="I70" s="101">
        <f t="shared" si="20"/>
        <v>2490007</v>
      </c>
      <c r="J70" s="97">
        <f t="shared" si="20"/>
        <v>2564707.21</v>
      </c>
      <c r="K70" s="97">
        <f t="shared" si="20"/>
        <v>2641648.4263</v>
      </c>
      <c r="L70" s="97">
        <f t="shared" si="20"/>
        <v>2720897.879089</v>
      </c>
      <c r="M70" s="97">
        <f t="shared" si="20"/>
        <v>2802524.8154616705</v>
      </c>
      <c r="N70" s="102">
        <f t="shared" si="20"/>
        <v>2886600.5599255203</v>
      </c>
    </row>
    <row r="71" spans="2:14" ht="10.5" thickBot="1">
      <c r="B71" s="31"/>
      <c r="C71" s="143" t="s">
        <v>38</v>
      </c>
      <c r="D71" s="116" t="s">
        <v>39</v>
      </c>
      <c r="E71" s="116" t="s">
        <v>40</v>
      </c>
      <c r="F71" s="116" t="s">
        <v>41</v>
      </c>
      <c r="G71" s="116" t="s">
        <v>42</v>
      </c>
      <c r="H71" s="117" t="s">
        <v>43</v>
      </c>
      <c r="I71" s="143" t="s">
        <v>38</v>
      </c>
      <c r="J71" s="116" t="s">
        <v>39</v>
      </c>
      <c r="K71" s="116" t="s">
        <v>40</v>
      </c>
      <c r="L71" s="116" t="s">
        <v>41</v>
      </c>
      <c r="M71" s="116" t="s">
        <v>42</v>
      </c>
      <c r="N71" s="117" t="s">
        <v>43</v>
      </c>
    </row>
    <row r="72" spans="2:14" ht="9.75">
      <c r="B72" s="69" t="str">
        <f>rail1</f>
        <v>Cloudbreak to Port Dumper</v>
      </c>
      <c r="C72" s="150">
        <f aca="true" t="shared" si="21" ref="C72:C91">C$70*SUM($H10,$I10,$L10,$M10,$F43,$G43)/SUM($J$30,$N$30,$H$63)</f>
        <v>2256696.5252687475</v>
      </c>
      <c r="D72" s="151">
        <f aca="true" t="shared" si="22" ref="D72:D91">D$70*SUM($H10,$I10,$L10,$M10,$J43,$K43)/SUM($J$30,$N$30,$L$63)</f>
        <v>2152836.985468058</v>
      </c>
      <c r="E72" s="151">
        <f aca="true" t="shared" si="23" ref="E72:E91">E$70*SUM($H10,$I10,$L10,$M10,$N43,$O43)/SUM($J$30,$N$30,$P$63)</f>
        <v>2217422.0950320996</v>
      </c>
      <c r="F72" s="151">
        <f aca="true" t="shared" si="24" ref="F72:F91">F$70*SUM($H10,$I10,$L10,$M10,$R43,$S43)/SUM($J$30,$N$30,$T$63)</f>
        <v>2283944.757883063</v>
      </c>
      <c r="G72" s="151">
        <f aca="true" t="shared" si="25" ref="G72:G91">G$70*SUM($H10,$I10,$L10,$M10,$V43,$W43)/SUM($J$30,$N$30,$X$63)</f>
        <v>2352463.100619555</v>
      </c>
      <c r="H72" s="152">
        <f aca="true" t="shared" si="26" ref="H72:H91">H$70*SUM($H10,$I10,$L10,$M10,$Z43,$AA43)/SUM($J$30,$N$30,$AB$63)</f>
        <v>2423036.993638141</v>
      </c>
      <c r="I72" s="150">
        <f aca="true" t="shared" si="27" ref="I72:I91">I$70*SUM($J10,$N10,$H43)/SUM($J$30,$N$30,$H$63)</f>
        <v>2490007</v>
      </c>
      <c r="J72" s="151">
        <f aca="true" t="shared" si="28" ref="J72:J91">J$70*SUM($J10,$N10,$L43)/SUM($J$30,$N$30,$L$63)</f>
        <v>2564707.21</v>
      </c>
      <c r="K72" s="151">
        <f aca="true" t="shared" si="29" ref="K72:K91">K$70*SUM($J10,$N10,$P43)/SUM($J$30,$N$30,$P$63)</f>
        <v>2641648.4263</v>
      </c>
      <c r="L72" s="151">
        <f aca="true" t="shared" si="30" ref="L72:L91">L$70*SUM($J10,$N10,$T43)/SUM($J$30,$N$30,$T$63)</f>
        <v>2720897.879089</v>
      </c>
      <c r="M72" s="151">
        <f aca="true" t="shared" si="31" ref="M72:M91">M$70*SUM($J10,$N10,$X43)/SUM($J$30,$N$30,$X$63)</f>
        <v>2802524.8154616705</v>
      </c>
      <c r="N72" s="152">
        <f aca="true" t="shared" si="32" ref="N72:N91">N$70*SUM($J10,$N10,$AB43)/SUM($J$30,$N$30,$AB$63)</f>
        <v>2886600.5599255203</v>
      </c>
    </row>
    <row r="73" spans="2:14" ht="9.75">
      <c r="B73" s="70" t="str">
        <f>rail2</f>
        <v>Route 2</v>
      </c>
      <c r="C73" s="153">
        <f t="shared" si="21"/>
        <v>0</v>
      </c>
      <c r="D73" s="154">
        <f t="shared" si="22"/>
        <v>0</v>
      </c>
      <c r="E73" s="154">
        <f t="shared" si="23"/>
        <v>0</v>
      </c>
      <c r="F73" s="154">
        <f t="shared" si="24"/>
        <v>0</v>
      </c>
      <c r="G73" s="154">
        <f t="shared" si="25"/>
        <v>0</v>
      </c>
      <c r="H73" s="155">
        <f t="shared" si="26"/>
        <v>0</v>
      </c>
      <c r="I73" s="153">
        <f t="shared" si="27"/>
        <v>0</v>
      </c>
      <c r="J73" s="154">
        <f t="shared" si="28"/>
        <v>0</v>
      </c>
      <c r="K73" s="154">
        <f t="shared" si="29"/>
        <v>0</v>
      </c>
      <c r="L73" s="154">
        <f t="shared" si="30"/>
        <v>0</v>
      </c>
      <c r="M73" s="154">
        <f t="shared" si="31"/>
        <v>0</v>
      </c>
      <c r="N73" s="155">
        <f t="shared" si="32"/>
        <v>0</v>
      </c>
    </row>
    <row r="74" spans="2:14" ht="9.75">
      <c r="B74" s="70" t="str">
        <f>rail3</f>
        <v>Route 3</v>
      </c>
      <c r="C74" s="153">
        <f t="shared" si="21"/>
        <v>0</v>
      </c>
      <c r="D74" s="154">
        <f t="shared" si="22"/>
        <v>0</v>
      </c>
      <c r="E74" s="154">
        <f t="shared" si="23"/>
        <v>0</v>
      </c>
      <c r="F74" s="154">
        <f t="shared" si="24"/>
        <v>0</v>
      </c>
      <c r="G74" s="154">
        <f t="shared" si="25"/>
        <v>0</v>
      </c>
      <c r="H74" s="155">
        <f t="shared" si="26"/>
        <v>0</v>
      </c>
      <c r="I74" s="153">
        <f t="shared" si="27"/>
        <v>0</v>
      </c>
      <c r="J74" s="154">
        <f t="shared" si="28"/>
        <v>0</v>
      </c>
      <c r="K74" s="154">
        <f t="shared" si="29"/>
        <v>0</v>
      </c>
      <c r="L74" s="154">
        <f t="shared" si="30"/>
        <v>0</v>
      </c>
      <c r="M74" s="154">
        <f t="shared" si="31"/>
        <v>0</v>
      </c>
      <c r="N74" s="155">
        <f t="shared" si="32"/>
        <v>0</v>
      </c>
    </row>
    <row r="75" spans="2:14" ht="9.75">
      <c r="B75" s="70" t="str">
        <f>rail4</f>
        <v>Route 4</v>
      </c>
      <c r="C75" s="153">
        <f t="shared" si="21"/>
        <v>0</v>
      </c>
      <c r="D75" s="154">
        <f t="shared" si="22"/>
        <v>0</v>
      </c>
      <c r="E75" s="154">
        <f t="shared" si="23"/>
        <v>0</v>
      </c>
      <c r="F75" s="154">
        <f t="shared" si="24"/>
        <v>0</v>
      </c>
      <c r="G75" s="154">
        <f t="shared" si="25"/>
        <v>0</v>
      </c>
      <c r="H75" s="155">
        <f t="shared" si="26"/>
        <v>0</v>
      </c>
      <c r="I75" s="153">
        <f t="shared" si="27"/>
        <v>0</v>
      </c>
      <c r="J75" s="154">
        <f t="shared" si="28"/>
        <v>0</v>
      </c>
      <c r="K75" s="154">
        <f t="shared" si="29"/>
        <v>0</v>
      </c>
      <c r="L75" s="154">
        <f t="shared" si="30"/>
        <v>0</v>
      </c>
      <c r="M75" s="154">
        <f t="shared" si="31"/>
        <v>0</v>
      </c>
      <c r="N75" s="155">
        <f t="shared" si="32"/>
        <v>0</v>
      </c>
    </row>
    <row r="76" spans="2:14" ht="9.75">
      <c r="B76" s="70" t="str">
        <f>rail5</f>
        <v>Route 5</v>
      </c>
      <c r="C76" s="153">
        <f t="shared" si="21"/>
        <v>0</v>
      </c>
      <c r="D76" s="154">
        <f t="shared" si="22"/>
        <v>0</v>
      </c>
      <c r="E76" s="154">
        <f t="shared" si="23"/>
        <v>0</v>
      </c>
      <c r="F76" s="154">
        <f t="shared" si="24"/>
        <v>0</v>
      </c>
      <c r="G76" s="154">
        <f t="shared" si="25"/>
        <v>0</v>
      </c>
      <c r="H76" s="155">
        <f t="shared" si="26"/>
        <v>0</v>
      </c>
      <c r="I76" s="153">
        <f t="shared" si="27"/>
        <v>0</v>
      </c>
      <c r="J76" s="154">
        <f t="shared" si="28"/>
        <v>0</v>
      </c>
      <c r="K76" s="154">
        <f t="shared" si="29"/>
        <v>0</v>
      </c>
      <c r="L76" s="154">
        <f t="shared" si="30"/>
        <v>0</v>
      </c>
      <c r="M76" s="154">
        <f t="shared" si="31"/>
        <v>0</v>
      </c>
      <c r="N76" s="155">
        <f t="shared" si="32"/>
        <v>0</v>
      </c>
    </row>
    <row r="77" spans="2:14" ht="9.75">
      <c r="B77" s="70" t="str">
        <f>rail6</f>
        <v>Route 6</v>
      </c>
      <c r="C77" s="153">
        <f t="shared" si="21"/>
        <v>0</v>
      </c>
      <c r="D77" s="154">
        <f t="shared" si="22"/>
        <v>0</v>
      </c>
      <c r="E77" s="154">
        <f t="shared" si="23"/>
        <v>0</v>
      </c>
      <c r="F77" s="154">
        <f t="shared" si="24"/>
        <v>0</v>
      </c>
      <c r="G77" s="154">
        <f t="shared" si="25"/>
        <v>0</v>
      </c>
      <c r="H77" s="155">
        <f t="shared" si="26"/>
        <v>0</v>
      </c>
      <c r="I77" s="153">
        <f t="shared" si="27"/>
        <v>0</v>
      </c>
      <c r="J77" s="154">
        <f t="shared" si="28"/>
        <v>0</v>
      </c>
      <c r="K77" s="154">
        <f t="shared" si="29"/>
        <v>0</v>
      </c>
      <c r="L77" s="154">
        <f t="shared" si="30"/>
        <v>0</v>
      </c>
      <c r="M77" s="154">
        <f t="shared" si="31"/>
        <v>0</v>
      </c>
      <c r="N77" s="155">
        <f t="shared" si="32"/>
        <v>0</v>
      </c>
    </row>
    <row r="78" spans="2:14" ht="9.75">
      <c r="B78" s="70" t="str">
        <f>rail7</f>
        <v>Route 7</v>
      </c>
      <c r="C78" s="153">
        <f t="shared" si="21"/>
        <v>0</v>
      </c>
      <c r="D78" s="154">
        <f t="shared" si="22"/>
        <v>0</v>
      </c>
      <c r="E78" s="154">
        <f t="shared" si="23"/>
        <v>0</v>
      </c>
      <c r="F78" s="154">
        <f t="shared" si="24"/>
        <v>0</v>
      </c>
      <c r="G78" s="154">
        <f t="shared" si="25"/>
        <v>0</v>
      </c>
      <c r="H78" s="155">
        <f t="shared" si="26"/>
        <v>0</v>
      </c>
      <c r="I78" s="153">
        <f t="shared" si="27"/>
        <v>0</v>
      </c>
      <c r="J78" s="154">
        <f t="shared" si="28"/>
        <v>0</v>
      </c>
      <c r="K78" s="154">
        <f t="shared" si="29"/>
        <v>0</v>
      </c>
      <c r="L78" s="154">
        <f t="shared" si="30"/>
        <v>0</v>
      </c>
      <c r="M78" s="154">
        <f t="shared" si="31"/>
        <v>0</v>
      </c>
      <c r="N78" s="155">
        <f t="shared" si="32"/>
        <v>0</v>
      </c>
    </row>
    <row r="79" spans="2:14" ht="9.75">
      <c r="B79" s="70" t="str">
        <f>rail8</f>
        <v>Route 8</v>
      </c>
      <c r="C79" s="153">
        <f t="shared" si="21"/>
        <v>0</v>
      </c>
      <c r="D79" s="154">
        <f t="shared" si="22"/>
        <v>0</v>
      </c>
      <c r="E79" s="154">
        <f t="shared" si="23"/>
        <v>0</v>
      </c>
      <c r="F79" s="154">
        <f t="shared" si="24"/>
        <v>0</v>
      </c>
      <c r="G79" s="154">
        <f t="shared" si="25"/>
        <v>0</v>
      </c>
      <c r="H79" s="155">
        <f t="shared" si="26"/>
        <v>0</v>
      </c>
      <c r="I79" s="153">
        <f t="shared" si="27"/>
        <v>0</v>
      </c>
      <c r="J79" s="154">
        <f t="shared" si="28"/>
        <v>0</v>
      </c>
      <c r="K79" s="154">
        <f t="shared" si="29"/>
        <v>0</v>
      </c>
      <c r="L79" s="154">
        <f t="shared" si="30"/>
        <v>0</v>
      </c>
      <c r="M79" s="154">
        <f t="shared" si="31"/>
        <v>0</v>
      </c>
      <c r="N79" s="155">
        <f t="shared" si="32"/>
        <v>0</v>
      </c>
    </row>
    <row r="80" spans="2:14" ht="9.75">
      <c r="B80" s="70" t="str">
        <f>rail9</f>
        <v>Route 9</v>
      </c>
      <c r="C80" s="153">
        <f t="shared" si="21"/>
        <v>0</v>
      </c>
      <c r="D80" s="154">
        <f t="shared" si="22"/>
        <v>0</v>
      </c>
      <c r="E80" s="154">
        <f t="shared" si="23"/>
        <v>0</v>
      </c>
      <c r="F80" s="154">
        <f t="shared" si="24"/>
        <v>0</v>
      </c>
      <c r="G80" s="154">
        <f t="shared" si="25"/>
        <v>0</v>
      </c>
      <c r="H80" s="155">
        <f t="shared" si="26"/>
        <v>0</v>
      </c>
      <c r="I80" s="153">
        <f t="shared" si="27"/>
        <v>0</v>
      </c>
      <c r="J80" s="154">
        <f t="shared" si="28"/>
        <v>0</v>
      </c>
      <c r="K80" s="154">
        <f t="shared" si="29"/>
        <v>0</v>
      </c>
      <c r="L80" s="154">
        <f t="shared" si="30"/>
        <v>0</v>
      </c>
      <c r="M80" s="154">
        <f t="shared" si="31"/>
        <v>0</v>
      </c>
      <c r="N80" s="155">
        <f t="shared" si="32"/>
        <v>0</v>
      </c>
    </row>
    <row r="81" spans="2:14" ht="9.75">
      <c r="B81" s="70" t="str">
        <f>rail10</f>
        <v>Route 10</v>
      </c>
      <c r="C81" s="153">
        <f t="shared" si="21"/>
        <v>0</v>
      </c>
      <c r="D81" s="154">
        <f t="shared" si="22"/>
        <v>0</v>
      </c>
      <c r="E81" s="154">
        <f t="shared" si="23"/>
        <v>0</v>
      </c>
      <c r="F81" s="154">
        <f t="shared" si="24"/>
        <v>0</v>
      </c>
      <c r="G81" s="154">
        <f t="shared" si="25"/>
        <v>0</v>
      </c>
      <c r="H81" s="155">
        <f t="shared" si="26"/>
        <v>0</v>
      </c>
      <c r="I81" s="153">
        <f t="shared" si="27"/>
        <v>0</v>
      </c>
      <c r="J81" s="154">
        <f t="shared" si="28"/>
        <v>0</v>
      </c>
      <c r="K81" s="154">
        <f t="shared" si="29"/>
        <v>0</v>
      </c>
      <c r="L81" s="154">
        <f t="shared" si="30"/>
        <v>0</v>
      </c>
      <c r="M81" s="154">
        <f t="shared" si="31"/>
        <v>0</v>
      </c>
      <c r="N81" s="155">
        <f t="shared" si="32"/>
        <v>0</v>
      </c>
    </row>
    <row r="82" spans="2:14" ht="9.75">
      <c r="B82" s="70" t="str">
        <f>rail11</f>
        <v>Route 11</v>
      </c>
      <c r="C82" s="153">
        <f t="shared" si="21"/>
        <v>0</v>
      </c>
      <c r="D82" s="154">
        <f t="shared" si="22"/>
        <v>0</v>
      </c>
      <c r="E82" s="154">
        <f t="shared" si="23"/>
        <v>0</v>
      </c>
      <c r="F82" s="154">
        <f t="shared" si="24"/>
        <v>0</v>
      </c>
      <c r="G82" s="154">
        <f t="shared" si="25"/>
        <v>0</v>
      </c>
      <c r="H82" s="155">
        <f t="shared" si="26"/>
        <v>0</v>
      </c>
      <c r="I82" s="153">
        <f t="shared" si="27"/>
        <v>0</v>
      </c>
      <c r="J82" s="154">
        <f t="shared" si="28"/>
        <v>0</v>
      </c>
      <c r="K82" s="154">
        <f t="shared" si="29"/>
        <v>0</v>
      </c>
      <c r="L82" s="154">
        <f t="shared" si="30"/>
        <v>0</v>
      </c>
      <c r="M82" s="154">
        <f t="shared" si="31"/>
        <v>0</v>
      </c>
      <c r="N82" s="155">
        <f t="shared" si="32"/>
        <v>0</v>
      </c>
    </row>
    <row r="83" spans="2:14" ht="9.75">
      <c r="B83" s="70" t="str">
        <f>rail12</f>
        <v>Route 12</v>
      </c>
      <c r="C83" s="153">
        <f t="shared" si="21"/>
        <v>0</v>
      </c>
      <c r="D83" s="154">
        <f t="shared" si="22"/>
        <v>0</v>
      </c>
      <c r="E83" s="154">
        <f t="shared" si="23"/>
        <v>0</v>
      </c>
      <c r="F83" s="154">
        <f t="shared" si="24"/>
        <v>0</v>
      </c>
      <c r="G83" s="154">
        <f t="shared" si="25"/>
        <v>0</v>
      </c>
      <c r="H83" s="155">
        <f t="shared" si="26"/>
        <v>0</v>
      </c>
      <c r="I83" s="153">
        <f t="shared" si="27"/>
        <v>0</v>
      </c>
      <c r="J83" s="154">
        <f t="shared" si="28"/>
        <v>0</v>
      </c>
      <c r="K83" s="154">
        <f t="shared" si="29"/>
        <v>0</v>
      </c>
      <c r="L83" s="154">
        <f t="shared" si="30"/>
        <v>0</v>
      </c>
      <c r="M83" s="154">
        <f t="shared" si="31"/>
        <v>0</v>
      </c>
      <c r="N83" s="155">
        <f t="shared" si="32"/>
        <v>0</v>
      </c>
    </row>
    <row r="84" spans="2:14" ht="9.75">
      <c r="B84" s="70" t="str">
        <f>rail13</f>
        <v>Route 13</v>
      </c>
      <c r="C84" s="153">
        <f t="shared" si="21"/>
        <v>0</v>
      </c>
      <c r="D84" s="154">
        <f t="shared" si="22"/>
        <v>0</v>
      </c>
      <c r="E84" s="154">
        <f t="shared" si="23"/>
        <v>0</v>
      </c>
      <c r="F84" s="154">
        <f t="shared" si="24"/>
        <v>0</v>
      </c>
      <c r="G84" s="154">
        <f t="shared" si="25"/>
        <v>0</v>
      </c>
      <c r="H84" s="155">
        <f t="shared" si="26"/>
        <v>0</v>
      </c>
      <c r="I84" s="153">
        <f t="shared" si="27"/>
        <v>0</v>
      </c>
      <c r="J84" s="154">
        <f t="shared" si="28"/>
        <v>0</v>
      </c>
      <c r="K84" s="154">
        <f t="shared" si="29"/>
        <v>0</v>
      </c>
      <c r="L84" s="154">
        <f t="shared" si="30"/>
        <v>0</v>
      </c>
      <c r="M84" s="154">
        <f t="shared" si="31"/>
        <v>0</v>
      </c>
      <c r="N84" s="155">
        <f t="shared" si="32"/>
        <v>0</v>
      </c>
    </row>
    <row r="85" spans="2:14" ht="9.75">
      <c r="B85" s="70" t="str">
        <f>rail14</f>
        <v>Route 14</v>
      </c>
      <c r="C85" s="153">
        <f t="shared" si="21"/>
        <v>0</v>
      </c>
      <c r="D85" s="154">
        <f t="shared" si="22"/>
        <v>0</v>
      </c>
      <c r="E85" s="154">
        <f t="shared" si="23"/>
        <v>0</v>
      </c>
      <c r="F85" s="154">
        <f t="shared" si="24"/>
        <v>0</v>
      </c>
      <c r="G85" s="154">
        <f t="shared" si="25"/>
        <v>0</v>
      </c>
      <c r="H85" s="155">
        <f t="shared" si="26"/>
        <v>0</v>
      </c>
      <c r="I85" s="153">
        <f t="shared" si="27"/>
        <v>0</v>
      </c>
      <c r="J85" s="154">
        <f t="shared" si="28"/>
        <v>0</v>
      </c>
      <c r="K85" s="154">
        <f t="shared" si="29"/>
        <v>0</v>
      </c>
      <c r="L85" s="154">
        <f t="shared" si="30"/>
        <v>0</v>
      </c>
      <c r="M85" s="154">
        <f t="shared" si="31"/>
        <v>0</v>
      </c>
      <c r="N85" s="155">
        <f t="shared" si="32"/>
        <v>0</v>
      </c>
    </row>
    <row r="86" spans="2:14" ht="9.75">
      <c r="B86" s="70" t="str">
        <f>rail15</f>
        <v>Route 15</v>
      </c>
      <c r="C86" s="153">
        <f t="shared" si="21"/>
        <v>0</v>
      </c>
      <c r="D86" s="154">
        <f t="shared" si="22"/>
        <v>0</v>
      </c>
      <c r="E86" s="154">
        <f t="shared" si="23"/>
        <v>0</v>
      </c>
      <c r="F86" s="154">
        <f t="shared" si="24"/>
        <v>0</v>
      </c>
      <c r="G86" s="154">
        <f t="shared" si="25"/>
        <v>0</v>
      </c>
      <c r="H86" s="155">
        <f t="shared" si="26"/>
        <v>0</v>
      </c>
      <c r="I86" s="153">
        <f t="shared" si="27"/>
        <v>0</v>
      </c>
      <c r="J86" s="154">
        <f t="shared" si="28"/>
        <v>0</v>
      </c>
      <c r="K86" s="154">
        <f t="shared" si="29"/>
        <v>0</v>
      </c>
      <c r="L86" s="154">
        <f t="shared" si="30"/>
        <v>0</v>
      </c>
      <c r="M86" s="154">
        <f t="shared" si="31"/>
        <v>0</v>
      </c>
      <c r="N86" s="155">
        <f t="shared" si="32"/>
        <v>0</v>
      </c>
    </row>
    <row r="87" spans="2:14" ht="9.75">
      <c r="B87" s="70" t="str">
        <f>rail16</f>
        <v>Route 16</v>
      </c>
      <c r="C87" s="153">
        <f t="shared" si="21"/>
        <v>0</v>
      </c>
      <c r="D87" s="154">
        <f t="shared" si="22"/>
        <v>0</v>
      </c>
      <c r="E87" s="154">
        <f t="shared" si="23"/>
        <v>0</v>
      </c>
      <c r="F87" s="154">
        <f t="shared" si="24"/>
        <v>0</v>
      </c>
      <c r="G87" s="154">
        <f t="shared" si="25"/>
        <v>0</v>
      </c>
      <c r="H87" s="155">
        <f t="shared" si="26"/>
        <v>0</v>
      </c>
      <c r="I87" s="153">
        <f t="shared" si="27"/>
        <v>0</v>
      </c>
      <c r="J87" s="154">
        <f t="shared" si="28"/>
        <v>0</v>
      </c>
      <c r="K87" s="154">
        <f t="shared" si="29"/>
        <v>0</v>
      </c>
      <c r="L87" s="154">
        <f t="shared" si="30"/>
        <v>0</v>
      </c>
      <c r="M87" s="154">
        <f t="shared" si="31"/>
        <v>0</v>
      </c>
      <c r="N87" s="155">
        <f t="shared" si="32"/>
        <v>0</v>
      </c>
    </row>
    <row r="88" spans="2:14" ht="9.75">
      <c r="B88" s="70" t="str">
        <f>rail17</f>
        <v>Route 17</v>
      </c>
      <c r="C88" s="153">
        <f t="shared" si="21"/>
        <v>0</v>
      </c>
      <c r="D88" s="154">
        <f t="shared" si="22"/>
        <v>0</v>
      </c>
      <c r="E88" s="154">
        <f t="shared" si="23"/>
        <v>0</v>
      </c>
      <c r="F88" s="154">
        <f t="shared" si="24"/>
        <v>0</v>
      </c>
      <c r="G88" s="154">
        <f t="shared" si="25"/>
        <v>0</v>
      </c>
      <c r="H88" s="155">
        <f t="shared" si="26"/>
        <v>0</v>
      </c>
      <c r="I88" s="153">
        <f t="shared" si="27"/>
        <v>0</v>
      </c>
      <c r="J88" s="154">
        <f t="shared" si="28"/>
        <v>0</v>
      </c>
      <c r="K88" s="154">
        <f t="shared" si="29"/>
        <v>0</v>
      </c>
      <c r="L88" s="154">
        <f t="shared" si="30"/>
        <v>0</v>
      </c>
      <c r="M88" s="154">
        <f t="shared" si="31"/>
        <v>0</v>
      </c>
      <c r="N88" s="155">
        <f t="shared" si="32"/>
        <v>0</v>
      </c>
    </row>
    <row r="89" spans="2:14" ht="9.75">
      <c r="B89" s="70" t="str">
        <f>rail18</f>
        <v>Route 18</v>
      </c>
      <c r="C89" s="153">
        <f t="shared" si="21"/>
        <v>0</v>
      </c>
      <c r="D89" s="154">
        <f t="shared" si="22"/>
        <v>0</v>
      </c>
      <c r="E89" s="154">
        <f t="shared" si="23"/>
        <v>0</v>
      </c>
      <c r="F89" s="154">
        <f t="shared" si="24"/>
        <v>0</v>
      </c>
      <c r="G89" s="154">
        <f t="shared" si="25"/>
        <v>0</v>
      </c>
      <c r="H89" s="155">
        <f t="shared" si="26"/>
        <v>0</v>
      </c>
      <c r="I89" s="153">
        <f t="shared" si="27"/>
        <v>0</v>
      </c>
      <c r="J89" s="154">
        <f t="shared" si="28"/>
        <v>0</v>
      </c>
      <c r="K89" s="154">
        <f t="shared" si="29"/>
        <v>0</v>
      </c>
      <c r="L89" s="154">
        <f t="shared" si="30"/>
        <v>0</v>
      </c>
      <c r="M89" s="154">
        <f t="shared" si="31"/>
        <v>0</v>
      </c>
      <c r="N89" s="155">
        <f t="shared" si="32"/>
        <v>0</v>
      </c>
    </row>
    <row r="90" spans="2:14" ht="9.75">
      <c r="B90" s="70" t="str">
        <f>rail19</f>
        <v>Route 19</v>
      </c>
      <c r="C90" s="153">
        <f t="shared" si="21"/>
        <v>0</v>
      </c>
      <c r="D90" s="154">
        <f t="shared" si="22"/>
        <v>0</v>
      </c>
      <c r="E90" s="154">
        <f t="shared" si="23"/>
        <v>0</v>
      </c>
      <c r="F90" s="154">
        <f t="shared" si="24"/>
        <v>0</v>
      </c>
      <c r="G90" s="154">
        <f t="shared" si="25"/>
        <v>0</v>
      </c>
      <c r="H90" s="155">
        <f t="shared" si="26"/>
        <v>0</v>
      </c>
      <c r="I90" s="153">
        <f t="shared" si="27"/>
        <v>0</v>
      </c>
      <c r="J90" s="154">
        <f t="shared" si="28"/>
        <v>0</v>
      </c>
      <c r="K90" s="154">
        <f t="shared" si="29"/>
        <v>0</v>
      </c>
      <c r="L90" s="154">
        <f t="shared" si="30"/>
        <v>0</v>
      </c>
      <c r="M90" s="154">
        <f t="shared" si="31"/>
        <v>0</v>
      </c>
      <c r="N90" s="155">
        <f t="shared" si="32"/>
        <v>0</v>
      </c>
    </row>
    <row r="91" spans="2:14" ht="10.5" thickBot="1">
      <c r="B91" s="71" t="str">
        <f>rail20</f>
        <v>Route 20</v>
      </c>
      <c r="C91" s="153">
        <f t="shared" si="21"/>
        <v>0</v>
      </c>
      <c r="D91" s="154">
        <f t="shared" si="22"/>
        <v>0</v>
      </c>
      <c r="E91" s="154">
        <f t="shared" si="23"/>
        <v>0</v>
      </c>
      <c r="F91" s="154">
        <f t="shared" si="24"/>
        <v>0</v>
      </c>
      <c r="G91" s="154">
        <f t="shared" si="25"/>
        <v>0</v>
      </c>
      <c r="H91" s="155">
        <f t="shared" si="26"/>
        <v>0</v>
      </c>
      <c r="I91" s="153">
        <f t="shared" si="27"/>
        <v>0</v>
      </c>
      <c r="J91" s="154">
        <f t="shared" si="28"/>
        <v>0</v>
      </c>
      <c r="K91" s="154">
        <f t="shared" si="29"/>
        <v>0</v>
      </c>
      <c r="L91" s="154">
        <f t="shared" si="30"/>
        <v>0</v>
      </c>
      <c r="M91" s="154">
        <f t="shared" si="31"/>
        <v>0</v>
      </c>
      <c r="N91" s="155">
        <f t="shared" si="32"/>
        <v>0</v>
      </c>
    </row>
    <row r="92" spans="2:14" ht="10.5" thickBot="1">
      <c r="B92" s="31"/>
      <c r="C92" s="156">
        <f aca="true" t="shared" si="33" ref="C92:N92">SUM(C72:C91)</f>
        <v>2256696.5252687475</v>
      </c>
      <c r="D92" s="157">
        <f t="shared" si="33"/>
        <v>2152836.985468058</v>
      </c>
      <c r="E92" s="157">
        <f t="shared" si="33"/>
        <v>2217422.0950320996</v>
      </c>
      <c r="F92" s="157">
        <f t="shared" si="33"/>
        <v>2283944.757883063</v>
      </c>
      <c r="G92" s="157">
        <f t="shared" si="33"/>
        <v>2352463.100619555</v>
      </c>
      <c r="H92" s="158">
        <f t="shared" si="33"/>
        <v>2423036.993638141</v>
      </c>
      <c r="I92" s="156">
        <f t="shared" si="33"/>
        <v>2490007</v>
      </c>
      <c r="J92" s="157">
        <f t="shared" si="33"/>
        <v>2564707.21</v>
      </c>
      <c r="K92" s="157">
        <f t="shared" si="33"/>
        <v>2641648.4263</v>
      </c>
      <c r="L92" s="157">
        <f t="shared" si="33"/>
        <v>2720897.879089</v>
      </c>
      <c r="M92" s="157">
        <f t="shared" si="33"/>
        <v>2802524.8154616705</v>
      </c>
      <c r="N92" s="158">
        <f t="shared" si="33"/>
        <v>2886600.5599255203</v>
      </c>
    </row>
    <row r="94" spans="1:2" ht="9.75">
      <c r="A94" s="198" t="str">
        <f>HYPERLINK(CONCATENATE(workbookname,"$A$1"),"Top")</f>
        <v>Top</v>
      </c>
      <c r="B94" s="2" t="s">
        <v>228</v>
      </c>
    </row>
    <row r="95" ht="9.75">
      <c r="B95" s="171" t="str">
        <f>Contents!D78</f>
        <v>Check to see that all asymmetric amount is correctly allocated</v>
      </c>
    </row>
    <row r="96" spans="2:8" ht="30">
      <c r="B96" s="167" t="s">
        <v>227</v>
      </c>
      <c r="C96" s="11">
        <f>G30</f>
        <v>11922390.603975799</v>
      </c>
      <c r="D96" s="11">
        <f aca="true" t="shared" si="34" ref="D96:H97">C96</f>
        <v>11922390.603975799</v>
      </c>
      <c r="E96" s="11">
        <f t="shared" si="34"/>
        <v>11922390.603975799</v>
      </c>
      <c r="F96" s="11">
        <f t="shared" si="34"/>
        <v>11922390.603975799</v>
      </c>
      <c r="G96" s="11">
        <f t="shared" si="34"/>
        <v>11922390.603975799</v>
      </c>
      <c r="H96" s="11">
        <f t="shared" si="34"/>
        <v>11922390.603975799</v>
      </c>
    </row>
    <row r="97" spans="2:8" ht="30">
      <c r="B97" s="167" t="s">
        <v>229</v>
      </c>
      <c r="C97" s="11">
        <f>K30</f>
        <v>0</v>
      </c>
      <c r="D97" s="11">
        <f t="shared" si="34"/>
        <v>0</v>
      </c>
      <c r="E97" s="11">
        <f t="shared" si="34"/>
        <v>0</v>
      </c>
      <c r="F97" s="11">
        <f t="shared" si="34"/>
        <v>0</v>
      </c>
      <c r="G97" s="11">
        <f t="shared" si="34"/>
        <v>0</v>
      </c>
      <c r="H97" s="11">
        <f t="shared" si="34"/>
        <v>0</v>
      </c>
    </row>
    <row r="98" spans="2:8" ht="30">
      <c r="B98" s="167" t="s">
        <v>230</v>
      </c>
      <c r="C98" s="137">
        <f>E63</f>
        <v>3996861.3409255287</v>
      </c>
      <c r="D98" s="137">
        <f>I63</f>
        <v>17536122.984612033</v>
      </c>
      <c r="E98" s="137">
        <f>M63</f>
        <v>17536122.984612033</v>
      </c>
      <c r="F98" s="137">
        <f>Q63</f>
        <v>17536122.984612033</v>
      </c>
      <c r="G98" s="137">
        <f>U63</f>
        <v>17536122.984612033</v>
      </c>
      <c r="H98" s="137">
        <f>Y63</f>
        <v>17536122.984612033</v>
      </c>
    </row>
    <row r="99" spans="2:8" ht="9.75">
      <c r="B99" s="1" t="s">
        <v>231</v>
      </c>
      <c r="C99" s="11">
        <f aca="true" t="shared" si="35" ref="C99:H99">SUM(C96:C98)</f>
        <v>15919251.944901329</v>
      </c>
      <c r="D99" s="11">
        <f t="shared" si="35"/>
        <v>29458513.58858783</v>
      </c>
      <c r="E99" s="11">
        <f t="shared" si="35"/>
        <v>29458513.58858783</v>
      </c>
      <c r="F99" s="11">
        <f t="shared" si="35"/>
        <v>29458513.58858783</v>
      </c>
      <c r="G99" s="11">
        <f t="shared" si="35"/>
        <v>29458513.58858783</v>
      </c>
      <c r="H99" s="11">
        <f t="shared" si="35"/>
        <v>29458513.58858783</v>
      </c>
    </row>
    <row r="101" spans="2:8" ht="30">
      <c r="B101" s="167" t="s">
        <v>232</v>
      </c>
      <c r="C101" s="8">
        <f>C70*C99/SUM($J$30,$N$30,$H$63)</f>
        <v>233310.47473125267</v>
      </c>
      <c r="D101" s="8">
        <f>D70*D99/SUM($J$30,$N$30,$L$63)</f>
        <v>411870.22453194193</v>
      </c>
      <c r="E101" s="8">
        <f>E70*E99/SUM($J$30,$N$30,$P$63)</f>
        <v>424226.3312679001</v>
      </c>
      <c r="F101" s="8">
        <f>F70*F99/SUM($J$30,$N$30,$T$63)</f>
        <v>436953.1212059372</v>
      </c>
      <c r="G101" s="8">
        <f>G70*G99/SUM($J$30,$N$30,$X$63)</f>
        <v>450061.7148421153</v>
      </c>
      <c r="H101" s="8">
        <f>H70*H99/SUM($J$30,$N$30,$AB$63)</f>
        <v>463563.5662873788</v>
      </c>
    </row>
    <row r="103" spans="2:8" ht="9.75">
      <c r="B103" s="1" t="s">
        <v>100</v>
      </c>
      <c r="C103" s="168">
        <f aca="true" t="shared" si="36" ref="C103:H103">C92+C101</f>
        <v>2490007</v>
      </c>
      <c r="D103" s="168">
        <f t="shared" si="36"/>
        <v>2564707.21</v>
      </c>
      <c r="E103" s="168">
        <f t="shared" si="36"/>
        <v>2641648.4263</v>
      </c>
      <c r="F103" s="168">
        <f t="shared" si="36"/>
        <v>2720897.879089</v>
      </c>
      <c r="G103" s="168">
        <f t="shared" si="36"/>
        <v>2802524.81546167</v>
      </c>
      <c r="H103" s="168">
        <f t="shared" si="36"/>
        <v>2886600.55992552</v>
      </c>
    </row>
    <row r="104" spans="2:8" ht="9.75">
      <c r="B104" s="15" t="s">
        <v>145</v>
      </c>
      <c r="C104" s="60">
        <f aca="true" t="shared" si="37" ref="C104:H104">C103-C70</f>
        <v>0</v>
      </c>
      <c r="D104" s="60">
        <f t="shared" si="37"/>
        <v>0</v>
      </c>
      <c r="E104" s="60">
        <f t="shared" si="37"/>
        <v>0</v>
      </c>
      <c r="F104" s="60">
        <f t="shared" si="37"/>
        <v>0</v>
      </c>
      <c r="G104" s="60">
        <f t="shared" si="37"/>
        <v>0</v>
      </c>
      <c r="H104" s="60">
        <f t="shared" si="37"/>
        <v>0</v>
      </c>
    </row>
  </sheetData>
  <sheetProtection sheet="1" objects="1" scenarios="1"/>
  <mergeCells count="11">
    <mergeCell ref="Q38:T38"/>
    <mergeCell ref="U38:X38"/>
    <mergeCell ref="Y38:AB38"/>
    <mergeCell ref="C68:H68"/>
    <mergeCell ref="I68:N68"/>
    <mergeCell ref="G5:J5"/>
    <mergeCell ref="K5:N5"/>
    <mergeCell ref="B7:D7"/>
    <mergeCell ref="E38:H38"/>
    <mergeCell ref="I38:L38"/>
    <mergeCell ref="M38:P38"/>
  </mergeCells>
  <conditionalFormatting sqref="A1">
    <cfRule type="cellIs" priority="1" dxfId="3" operator="equal" stopIfTrue="1">
      <formula>"All Ok"</formula>
    </cfRule>
    <cfRule type="cellIs" priority="2" dxfId="2" operator="notEqual" stopIfTrue="1">
      <formula>"All Ok"</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8" scale="52" r:id="rId1"/>
  <headerFooter alignWithMargins="0">
    <oddFooter>&amp;L&amp;F&amp;R&amp;P</oddFooter>
  </headerFooter>
</worksheet>
</file>

<file path=xl/worksheets/sheet12.xml><?xml version="1.0" encoding="utf-8"?>
<worksheet xmlns="http://schemas.openxmlformats.org/spreadsheetml/2006/main" xmlns:r="http://schemas.openxmlformats.org/officeDocument/2006/relationships">
  <sheetPr>
    <tabColor indexed="42"/>
    <pageSetUpPr fitToPage="1"/>
  </sheetPr>
  <dimension ref="A1:V297"/>
  <sheetViews>
    <sheetView zoomScale="85" zoomScaleNormal="85" zoomScalePageLayoutView="0" workbookViewId="0" topLeftCell="A1">
      <selection activeCell="K24" sqref="K24"/>
    </sheetView>
  </sheetViews>
  <sheetFormatPr defaultColWidth="9.140625" defaultRowHeight="12.75" outlineLevelRow="1"/>
  <cols>
    <col min="1" max="1" width="5.57421875" style="1" bestFit="1" customWidth="1"/>
    <col min="2" max="2" width="39.28125" style="1" customWidth="1"/>
    <col min="3" max="3" width="16.421875" style="1" bestFit="1" customWidth="1"/>
    <col min="4" max="4" width="18.00390625" style="1" bestFit="1" customWidth="1"/>
    <col min="5" max="5" width="20.00390625" style="1" bestFit="1" customWidth="1"/>
    <col min="6" max="6" width="18.00390625" style="1" bestFit="1" customWidth="1"/>
    <col min="7" max="10" width="16.28125" style="1" bestFit="1" customWidth="1"/>
    <col min="11" max="12" width="11.57421875" style="1" bestFit="1" customWidth="1"/>
    <col min="13" max="13" width="19.00390625" style="1" bestFit="1" customWidth="1"/>
    <col min="14" max="22" width="4.7109375" style="1" bestFit="1" customWidth="1"/>
    <col min="23" max="16384" width="9.140625" style="1" customWidth="1"/>
  </cols>
  <sheetData>
    <row r="1" ht="9.75">
      <c r="A1" s="1" t="str">
        <f>IF(OR(C50="Error",C79="Error",C156="Error",C188="Error",C220="Error",C297="Error"),"Error","All Ok")</f>
        <v>All Ok</v>
      </c>
    </row>
    <row r="2" spans="2:3" ht="12">
      <c r="B2" s="14" t="str">
        <f>modelname</f>
        <v>3rd Party Access Model</v>
      </c>
      <c r="C2" s="192" t="str">
        <f>HYPERLINK(Contents!$A$1,"Back to Contents Page")</f>
        <v>Back to Contents Page</v>
      </c>
    </row>
    <row r="3" spans="1:2" ht="11.25">
      <c r="A3" s="24"/>
      <c r="B3" s="190" t="s">
        <v>328</v>
      </c>
    </row>
    <row r="4" ht="9.75">
      <c r="B4" s="171" t="str">
        <f>Contents!D80</f>
        <v>This sheet calculates all of the relevant allocations of expenses in relation to the railway</v>
      </c>
    </row>
    <row r="6" ht="9.75">
      <c r="B6" s="2" t="s">
        <v>124</v>
      </c>
    </row>
    <row r="7" spans="2:3" ht="9.75">
      <c r="B7" s="199" t="s">
        <v>159</v>
      </c>
      <c r="C7" s="198" t="str">
        <f>HYPERLINK(CONCATENATE(workbookname,ADDRESS(ROW('Rail Expenses'!$A$12),COLUMN('Rail Expenses'!$A$12),4,1)),"Click Here")</f>
        <v>Click Here</v>
      </c>
    </row>
    <row r="8" spans="2:3" ht="9.75">
      <c r="B8" s="199" t="s">
        <v>207</v>
      </c>
      <c r="C8" s="198" t="str">
        <f>HYPERLINK(CONCATENATE(workbookname,ADDRESS(ROW('Rail Expenses'!$A$53),COLUMN('Rail Expenses'!$A$53),4,1)),"Click Here")</f>
        <v>Click Here</v>
      </c>
    </row>
    <row r="9" spans="2:3" ht="9.75">
      <c r="B9" s="199" t="s">
        <v>192</v>
      </c>
      <c r="C9" s="198" t="str">
        <f>HYPERLINK(CONCATENATE(workbookname,ADDRESS(ROW('Rail Expenses'!$A$82),COLUMN('Rail Expenses'!$A$82),4,1)),"Click Here")</f>
        <v>Click Here</v>
      </c>
    </row>
    <row r="10" spans="2:3" ht="9.75">
      <c r="B10" s="199" t="s">
        <v>208</v>
      </c>
      <c r="C10" s="198" t="str">
        <f>HYPERLINK(CONCATENATE(workbookname,ADDRESS(ROW('Rail Expenses'!$A$223),COLUMN('Rail Expenses'!$A$223),4,1)),"Click Here")</f>
        <v>Click Here</v>
      </c>
    </row>
    <row r="12" spans="1:2" ht="9.75">
      <c r="A12" s="198" t="str">
        <f>HYPERLINK(CONCATENATE(workbookname,"$A$1"),"Top")</f>
        <v>Top</v>
      </c>
      <c r="B12" s="121" t="str">
        <f>Contents!B81</f>
        <v>Gross Operating Costs </v>
      </c>
    </row>
    <row r="13" ht="10.5" thickBot="1">
      <c r="B13" s="171" t="str">
        <f>Contents!D81</f>
        <v>Display of the operating costs associated with the rail network</v>
      </c>
    </row>
    <row r="14" spans="3:7" ht="21" outlineLevel="1" thickBot="1">
      <c r="C14" s="89" t="s">
        <v>73</v>
      </c>
      <c r="D14" s="92" t="s">
        <v>147</v>
      </c>
      <c r="E14" s="92" t="s">
        <v>148</v>
      </c>
      <c r="F14" s="93" t="s">
        <v>157</v>
      </c>
      <c r="G14" s="87" t="s">
        <v>98</v>
      </c>
    </row>
    <row r="15" spans="2:7" ht="9.75" outlineLevel="1">
      <c r="B15" s="56" t="str">
        <f>Data!B92</f>
        <v>Rail Operations</v>
      </c>
      <c r="C15" s="94" t="str">
        <f>Data!E92</f>
        <v>Gross TKM</v>
      </c>
      <c r="D15" s="95">
        <f>Data!C92</f>
        <v>0</v>
      </c>
      <c r="E15" s="94">
        <f>Data!F92</f>
        <v>0</v>
      </c>
      <c r="F15" s="94">
        <f>Data!G92</f>
        <v>1217</v>
      </c>
      <c r="G15" s="104">
        <f>IF(E15=0,0,D15*F15/E15)</f>
        <v>0</v>
      </c>
    </row>
    <row r="16" spans="2:7" ht="9.75" outlineLevel="1">
      <c r="B16" s="57" t="str">
        <f>Data!B93</f>
        <v>Rail Rolling Stock Maintenance</v>
      </c>
      <c r="C16" s="35" t="str">
        <f>Data!E93</f>
        <v>Train KM</v>
      </c>
      <c r="D16" s="29">
        <f>Data!C93</f>
        <v>0</v>
      </c>
      <c r="E16" s="35">
        <f>Data!F93</f>
        <v>0</v>
      </c>
      <c r="F16" s="35">
        <f>Data!G93</f>
        <v>1217</v>
      </c>
      <c r="G16" s="105">
        <f aca="true" t="shared" si="0" ref="G16:G29">IF(E16=0,0,D16*F16/E16)</f>
        <v>0</v>
      </c>
    </row>
    <row r="17" spans="2:7" ht="9.75" outlineLevel="1">
      <c r="B17" s="57" t="str">
        <f>Data!B94</f>
        <v>Rail Track Maintenance</v>
      </c>
      <c r="C17" s="35" t="str">
        <f>Data!E94</f>
        <v>Train KM</v>
      </c>
      <c r="D17" s="29">
        <f>Data!C94</f>
        <v>36602260</v>
      </c>
      <c r="E17" s="35">
        <f>Data!F94</f>
        <v>1217</v>
      </c>
      <c r="F17" s="35">
        <f>Data!G94</f>
        <v>1217</v>
      </c>
      <c r="G17" s="105">
        <f t="shared" si="0"/>
        <v>36602260</v>
      </c>
    </row>
    <row r="18" spans="2:7" ht="9.75" outlineLevel="1">
      <c r="B18" s="57" t="str">
        <f>Data!B95</f>
        <v>Rail Signals Maintenance</v>
      </c>
      <c r="C18" s="35" t="str">
        <f>Data!E95</f>
        <v>Train KM</v>
      </c>
      <c r="D18" s="29">
        <f>Data!C95</f>
        <v>4836136</v>
      </c>
      <c r="E18" s="35">
        <f>Data!F95</f>
        <v>1217</v>
      </c>
      <c r="F18" s="35">
        <f>Data!G95</f>
        <v>1217</v>
      </c>
      <c r="G18" s="105">
        <f t="shared" si="0"/>
        <v>4836136</v>
      </c>
    </row>
    <row r="19" spans="2:7" ht="9.75" outlineLevel="1">
      <c r="B19" s="57" t="str">
        <f>Data!B96</f>
        <v>Support</v>
      </c>
      <c r="C19" s="35" t="str">
        <f>Data!E96</f>
        <v>Direct</v>
      </c>
      <c r="D19" s="29">
        <f>Data!C96</f>
        <v>7882762</v>
      </c>
      <c r="E19" s="35">
        <f>Data!F96</f>
        <v>1217</v>
      </c>
      <c r="F19" s="35">
        <f>Data!G96</f>
        <v>1217</v>
      </c>
      <c r="G19" s="105">
        <f t="shared" si="0"/>
        <v>7882762</v>
      </c>
    </row>
    <row r="20" spans="2:7" ht="9.75" outlineLevel="1">
      <c r="B20" s="57" t="str">
        <f>Data!B97</f>
        <v>O'Head</v>
      </c>
      <c r="C20" s="35" t="str">
        <f>Data!E97</f>
        <v>Direct</v>
      </c>
      <c r="D20" s="29">
        <f>Data!C97</f>
        <v>9221531</v>
      </c>
      <c r="E20" s="35">
        <f>Data!F97</f>
        <v>1217</v>
      </c>
      <c r="F20" s="35">
        <f>Data!G97</f>
        <v>1217</v>
      </c>
      <c r="G20" s="105">
        <f t="shared" si="0"/>
        <v>9221531</v>
      </c>
    </row>
    <row r="21" spans="2:7" ht="9.75" outlineLevel="1">
      <c r="B21" s="57" t="str">
        <f>Data!B98</f>
        <v>Other 7</v>
      </c>
      <c r="C21" s="35" t="str">
        <f>Data!E98</f>
        <v>Direct</v>
      </c>
      <c r="D21" s="29">
        <f>Data!C98</f>
        <v>0</v>
      </c>
      <c r="E21" s="35">
        <f>Data!F98</f>
        <v>0</v>
      </c>
      <c r="F21" s="35">
        <f>Data!G98</f>
        <v>1217</v>
      </c>
      <c r="G21" s="105">
        <f t="shared" si="0"/>
        <v>0</v>
      </c>
    </row>
    <row r="22" spans="2:7" ht="9.75" outlineLevel="1">
      <c r="B22" s="57" t="str">
        <f>Data!B99</f>
        <v>Other 8</v>
      </c>
      <c r="C22" s="35" t="str">
        <f>Data!E99</f>
        <v>Direct</v>
      </c>
      <c r="D22" s="29">
        <f>Data!C99</f>
        <v>0</v>
      </c>
      <c r="E22" s="35">
        <f>Data!F99</f>
        <v>0</v>
      </c>
      <c r="F22" s="35">
        <f>Data!G99</f>
        <v>1217</v>
      </c>
      <c r="G22" s="105">
        <f t="shared" si="0"/>
        <v>0</v>
      </c>
    </row>
    <row r="23" spans="2:7" ht="9.75" outlineLevel="1">
      <c r="B23" s="57" t="str">
        <f>Data!B100</f>
        <v>Other 9</v>
      </c>
      <c r="C23" s="35" t="str">
        <f>Data!E100</f>
        <v>Direct</v>
      </c>
      <c r="D23" s="29">
        <f>Data!C100</f>
        <v>0</v>
      </c>
      <c r="E23" s="35">
        <f>Data!F100</f>
        <v>0</v>
      </c>
      <c r="F23" s="35">
        <f>Data!G100</f>
        <v>1217</v>
      </c>
      <c r="G23" s="105">
        <f t="shared" si="0"/>
        <v>0</v>
      </c>
    </row>
    <row r="24" spans="2:7" ht="9.75" outlineLevel="1">
      <c r="B24" s="57" t="str">
        <f>Data!B101</f>
        <v>Other 10</v>
      </c>
      <c r="C24" s="35" t="str">
        <f>Data!E101</f>
        <v>Direct</v>
      </c>
      <c r="D24" s="29">
        <f>Data!C101</f>
        <v>0</v>
      </c>
      <c r="E24" s="35">
        <f>Data!F101</f>
        <v>0</v>
      </c>
      <c r="F24" s="35">
        <f>Data!G101</f>
        <v>1217</v>
      </c>
      <c r="G24" s="105">
        <f t="shared" si="0"/>
        <v>0</v>
      </c>
    </row>
    <row r="25" spans="2:7" ht="9.75" outlineLevel="1">
      <c r="B25" s="57" t="str">
        <f>Data!B102</f>
        <v>Other 11</v>
      </c>
      <c r="C25" s="35" t="str">
        <f>Data!E102</f>
        <v>Direct</v>
      </c>
      <c r="D25" s="29">
        <f>Data!C102</f>
        <v>0</v>
      </c>
      <c r="E25" s="35">
        <f>Data!F102</f>
        <v>0</v>
      </c>
      <c r="F25" s="35">
        <f>Data!G102</f>
        <v>1217</v>
      </c>
      <c r="G25" s="105">
        <f t="shared" si="0"/>
        <v>0</v>
      </c>
    </row>
    <row r="26" spans="2:7" ht="9.75" outlineLevel="1">
      <c r="B26" s="57" t="str">
        <f>Data!B103</f>
        <v>Other 12</v>
      </c>
      <c r="C26" s="35" t="str">
        <f>Data!E103</f>
        <v>Direct</v>
      </c>
      <c r="D26" s="29">
        <f>Data!C103</f>
        <v>0</v>
      </c>
      <c r="E26" s="35">
        <f>Data!F103</f>
        <v>0</v>
      </c>
      <c r="F26" s="35">
        <f>Data!G103</f>
        <v>1217</v>
      </c>
      <c r="G26" s="105">
        <f t="shared" si="0"/>
        <v>0</v>
      </c>
    </row>
    <row r="27" spans="2:7" ht="9.75" outlineLevel="1">
      <c r="B27" s="57" t="str">
        <f>Data!B104</f>
        <v>Other 13</v>
      </c>
      <c r="C27" s="35" t="str">
        <f>Data!E104</f>
        <v>Direct</v>
      </c>
      <c r="D27" s="29">
        <f>Data!C104</f>
        <v>0</v>
      </c>
      <c r="E27" s="35">
        <f>Data!F104</f>
        <v>0</v>
      </c>
      <c r="F27" s="35">
        <f>Data!G104</f>
        <v>1217</v>
      </c>
      <c r="G27" s="105">
        <f t="shared" si="0"/>
        <v>0</v>
      </c>
    </row>
    <row r="28" spans="2:7" ht="9.75" outlineLevel="1">
      <c r="B28" s="57" t="str">
        <f>Data!B105</f>
        <v>Other 14</v>
      </c>
      <c r="C28" s="35" t="str">
        <f>Data!E105</f>
        <v>Direct</v>
      </c>
      <c r="D28" s="29">
        <f>Data!C105</f>
        <v>0</v>
      </c>
      <c r="E28" s="35">
        <f>Data!F105</f>
        <v>0</v>
      </c>
      <c r="F28" s="35">
        <f>Data!G105</f>
        <v>1217</v>
      </c>
      <c r="G28" s="105">
        <f t="shared" si="0"/>
        <v>0</v>
      </c>
    </row>
    <row r="29" spans="2:7" ht="10.5" outlineLevel="1" thickBot="1">
      <c r="B29" s="58" t="str">
        <f>Data!B106</f>
        <v>Other 15</v>
      </c>
      <c r="C29" s="45">
        <f>Data!E106</f>
        <v>0</v>
      </c>
      <c r="D29" s="97">
        <f>Data!C106</f>
        <v>0</v>
      </c>
      <c r="E29" s="45">
        <f>Data!F106</f>
        <v>0</v>
      </c>
      <c r="F29" s="45">
        <f>Data!G106</f>
        <v>1217</v>
      </c>
      <c r="G29" s="106">
        <f t="shared" si="0"/>
        <v>0</v>
      </c>
    </row>
    <row r="30" spans="2:7" ht="10.5" outlineLevel="1" thickBot="1">
      <c r="B30" s="59" t="s">
        <v>158</v>
      </c>
      <c r="C30" s="108"/>
      <c r="D30" s="108"/>
      <c r="E30" s="108"/>
      <c r="F30" s="108"/>
      <c r="G30" s="109">
        <f>SUM(G15:G29)</f>
        <v>58542689</v>
      </c>
    </row>
    <row r="31" ht="10.5" outlineLevel="1" thickBot="1"/>
    <row r="32" spans="2:6" ht="10.5" outlineLevel="1" thickBot="1">
      <c r="B32" s="99" t="s">
        <v>160</v>
      </c>
      <c r="C32" s="100" t="s">
        <v>651</v>
      </c>
      <c r="D32" s="90" t="s">
        <v>652</v>
      </c>
      <c r="E32" s="90" t="s">
        <v>186</v>
      </c>
      <c r="F32" s="107" t="s">
        <v>98</v>
      </c>
    </row>
    <row r="33" spans="2:6" ht="9.75" outlineLevel="1">
      <c r="B33" s="56" t="str">
        <f>B15</f>
        <v>Rail Operations</v>
      </c>
      <c r="C33" s="103">
        <f aca="true" t="shared" si="1" ref="C33:E47">IF($C15=C$32,$G15,0)</f>
        <v>0</v>
      </c>
      <c r="D33" s="95">
        <f t="shared" si="1"/>
        <v>0</v>
      </c>
      <c r="E33" s="95">
        <f t="shared" si="1"/>
        <v>0</v>
      </c>
      <c r="F33" s="104">
        <f>SUM(C33:E33)</f>
        <v>0</v>
      </c>
    </row>
    <row r="34" spans="2:6" ht="9.75" outlineLevel="1">
      <c r="B34" s="57" t="str">
        <f aca="true" t="shared" si="2" ref="B34:B47">B16</f>
        <v>Rail Rolling Stock Maintenance</v>
      </c>
      <c r="C34" s="37">
        <f t="shared" si="1"/>
        <v>0</v>
      </c>
      <c r="D34" s="29">
        <f t="shared" si="1"/>
        <v>0</v>
      </c>
      <c r="E34" s="29">
        <f t="shared" si="1"/>
        <v>0</v>
      </c>
      <c r="F34" s="105">
        <f aca="true" t="shared" si="3" ref="F34:F47">SUM(C34:E34)</f>
        <v>0</v>
      </c>
    </row>
    <row r="35" spans="2:6" ht="9.75" outlineLevel="1">
      <c r="B35" s="57" t="str">
        <f t="shared" si="2"/>
        <v>Rail Track Maintenance</v>
      </c>
      <c r="C35" s="37">
        <f t="shared" si="1"/>
        <v>0</v>
      </c>
      <c r="D35" s="29">
        <f t="shared" si="1"/>
        <v>36602260</v>
      </c>
      <c r="E35" s="29">
        <f t="shared" si="1"/>
        <v>0</v>
      </c>
      <c r="F35" s="105">
        <f t="shared" si="3"/>
        <v>36602260</v>
      </c>
    </row>
    <row r="36" spans="2:6" ht="9.75" outlineLevel="1">
      <c r="B36" s="57" t="str">
        <f t="shared" si="2"/>
        <v>Rail Signals Maintenance</v>
      </c>
      <c r="C36" s="37">
        <f t="shared" si="1"/>
        <v>0</v>
      </c>
      <c r="D36" s="29">
        <f t="shared" si="1"/>
        <v>4836136</v>
      </c>
      <c r="E36" s="29">
        <f t="shared" si="1"/>
        <v>0</v>
      </c>
      <c r="F36" s="105">
        <f t="shared" si="3"/>
        <v>4836136</v>
      </c>
    </row>
    <row r="37" spans="2:6" ht="9.75" outlineLevel="1">
      <c r="B37" s="57" t="str">
        <f t="shared" si="2"/>
        <v>Support</v>
      </c>
      <c r="C37" s="37">
        <f t="shared" si="1"/>
        <v>7882762</v>
      </c>
      <c r="D37" s="29">
        <f t="shared" si="1"/>
        <v>0</v>
      </c>
      <c r="E37" s="29">
        <f t="shared" si="1"/>
        <v>0</v>
      </c>
      <c r="F37" s="105">
        <f t="shared" si="3"/>
        <v>7882762</v>
      </c>
    </row>
    <row r="38" spans="2:6" ht="9.75" outlineLevel="1">
      <c r="B38" s="57" t="str">
        <f t="shared" si="2"/>
        <v>O'Head</v>
      </c>
      <c r="C38" s="37">
        <f t="shared" si="1"/>
        <v>9221531</v>
      </c>
      <c r="D38" s="29">
        <f t="shared" si="1"/>
        <v>0</v>
      </c>
      <c r="E38" s="29">
        <f t="shared" si="1"/>
        <v>0</v>
      </c>
      <c r="F38" s="105">
        <f t="shared" si="3"/>
        <v>9221531</v>
      </c>
    </row>
    <row r="39" spans="2:6" ht="9.75" outlineLevel="1">
      <c r="B39" s="57" t="str">
        <f t="shared" si="2"/>
        <v>Other 7</v>
      </c>
      <c r="C39" s="37">
        <f t="shared" si="1"/>
        <v>0</v>
      </c>
      <c r="D39" s="29">
        <f t="shared" si="1"/>
        <v>0</v>
      </c>
      <c r="E39" s="29">
        <f t="shared" si="1"/>
        <v>0</v>
      </c>
      <c r="F39" s="105">
        <f t="shared" si="3"/>
        <v>0</v>
      </c>
    </row>
    <row r="40" spans="2:6" ht="9.75" outlineLevel="1">
      <c r="B40" s="57" t="str">
        <f t="shared" si="2"/>
        <v>Other 8</v>
      </c>
      <c r="C40" s="37">
        <f t="shared" si="1"/>
        <v>0</v>
      </c>
      <c r="D40" s="29">
        <f t="shared" si="1"/>
        <v>0</v>
      </c>
      <c r="E40" s="29">
        <f t="shared" si="1"/>
        <v>0</v>
      </c>
      <c r="F40" s="105">
        <f t="shared" si="3"/>
        <v>0</v>
      </c>
    </row>
    <row r="41" spans="2:6" ht="9.75" outlineLevel="1">
      <c r="B41" s="57" t="str">
        <f t="shared" si="2"/>
        <v>Other 9</v>
      </c>
      <c r="C41" s="37">
        <f t="shared" si="1"/>
        <v>0</v>
      </c>
      <c r="D41" s="29">
        <f t="shared" si="1"/>
        <v>0</v>
      </c>
      <c r="E41" s="29">
        <f t="shared" si="1"/>
        <v>0</v>
      </c>
      <c r="F41" s="105">
        <f t="shared" si="3"/>
        <v>0</v>
      </c>
    </row>
    <row r="42" spans="2:6" ht="9.75" outlineLevel="1">
      <c r="B42" s="57" t="str">
        <f t="shared" si="2"/>
        <v>Other 10</v>
      </c>
      <c r="C42" s="37">
        <f t="shared" si="1"/>
        <v>0</v>
      </c>
      <c r="D42" s="29">
        <f t="shared" si="1"/>
        <v>0</v>
      </c>
      <c r="E42" s="29">
        <f t="shared" si="1"/>
        <v>0</v>
      </c>
      <c r="F42" s="105">
        <f t="shared" si="3"/>
        <v>0</v>
      </c>
    </row>
    <row r="43" spans="2:6" ht="9.75" outlineLevel="1">
      <c r="B43" s="57" t="str">
        <f t="shared" si="2"/>
        <v>Other 11</v>
      </c>
      <c r="C43" s="37">
        <f t="shared" si="1"/>
        <v>0</v>
      </c>
      <c r="D43" s="29">
        <f t="shared" si="1"/>
        <v>0</v>
      </c>
      <c r="E43" s="29">
        <f t="shared" si="1"/>
        <v>0</v>
      </c>
      <c r="F43" s="105">
        <f t="shared" si="3"/>
        <v>0</v>
      </c>
    </row>
    <row r="44" spans="2:6" ht="9.75" outlineLevel="1">
      <c r="B44" s="57" t="str">
        <f t="shared" si="2"/>
        <v>Other 12</v>
      </c>
      <c r="C44" s="37">
        <f t="shared" si="1"/>
        <v>0</v>
      </c>
      <c r="D44" s="29">
        <f t="shared" si="1"/>
        <v>0</v>
      </c>
      <c r="E44" s="29">
        <f t="shared" si="1"/>
        <v>0</v>
      </c>
      <c r="F44" s="105">
        <f t="shared" si="3"/>
        <v>0</v>
      </c>
    </row>
    <row r="45" spans="2:6" ht="9.75" outlineLevel="1">
      <c r="B45" s="57" t="str">
        <f t="shared" si="2"/>
        <v>Other 13</v>
      </c>
      <c r="C45" s="37">
        <f t="shared" si="1"/>
        <v>0</v>
      </c>
      <c r="D45" s="29">
        <f t="shared" si="1"/>
        <v>0</v>
      </c>
      <c r="E45" s="29">
        <f t="shared" si="1"/>
        <v>0</v>
      </c>
      <c r="F45" s="105">
        <f t="shared" si="3"/>
        <v>0</v>
      </c>
    </row>
    <row r="46" spans="2:6" ht="9.75" outlineLevel="1">
      <c r="B46" s="57" t="str">
        <f t="shared" si="2"/>
        <v>Other 14</v>
      </c>
      <c r="C46" s="37">
        <f t="shared" si="1"/>
        <v>0</v>
      </c>
      <c r="D46" s="29">
        <f t="shared" si="1"/>
        <v>0</v>
      </c>
      <c r="E46" s="29">
        <f t="shared" si="1"/>
        <v>0</v>
      </c>
      <c r="F46" s="105">
        <f t="shared" si="3"/>
        <v>0</v>
      </c>
    </row>
    <row r="47" spans="2:6" ht="10.5" outlineLevel="1" thickBot="1">
      <c r="B47" s="58" t="str">
        <f t="shared" si="2"/>
        <v>Other 15</v>
      </c>
      <c r="C47" s="101">
        <f t="shared" si="1"/>
        <v>0</v>
      </c>
      <c r="D47" s="97">
        <f t="shared" si="1"/>
        <v>0</v>
      </c>
      <c r="E47" s="97">
        <f t="shared" si="1"/>
        <v>0</v>
      </c>
      <c r="F47" s="106">
        <f t="shared" si="3"/>
        <v>0</v>
      </c>
    </row>
    <row r="48" spans="2:6" ht="10.5" outlineLevel="1" thickBot="1">
      <c r="B48" s="59" t="s">
        <v>158</v>
      </c>
      <c r="C48" s="110">
        <f>SUM(C33:C47)</f>
        <v>17104293</v>
      </c>
      <c r="D48" s="111">
        <f>SUM(D33:D47)</f>
        <v>41438396</v>
      </c>
      <c r="E48" s="111">
        <f>SUM(E33:E47)</f>
        <v>0</v>
      </c>
      <c r="F48" s="112">
        <f>SUM(F33:F47)</f>
        <v>58542689</v>
      </c>
    </row>
    <row r="49" ht="9.75" outlineLevel="1"/>
    <row r="50" spans="2:3" ht="9.75" outlineLevel="1">
      <c r="B50" s="2" t="s">
        <v>187</v>
      </c>
      <c r="C50" s="9" t="str">
        <f>IF(F48=G30,"OK","ERROR")</f>
        <v>OK</v>
      </c>
    </row>
    <row r="53" spans="1:2" ht="9.75">
      <c r="A53" s="198" t="str">
        <f>HYPERLINK(CONCATENATE(workbookname,"$A$1"),"Top")</f>
        <v>Top</v>
      </c>
      <c r="B53" s="3" t="str">
        <f>Contents!B82</f>
        <v>Allocation of costs by Length of Track - Equal Split / Direct</v>
      </c>
    </row>
    <row r="54" ht="9.75">
      <c r="B54" s="171" t="str">
        <f>Contents!D82</f>
        <v>Operating costs that need to be split by length of track</v>
      </c>
    </row>
    <row r="55" spans="2:10" ht="10.5" outlineLevel="1" thickBot="1">
      <c r="B55" s="1" t="str">
        <f>"Inflation Calculation @ "&amp;inflation*100&amp;"%"</f>
        <v>Inflation Calculation @ 3%</v>
      </c>
      <c r="E55" s="113">
        <f>1</f>
        <v>1</v>
      </c>
      <c r="F55" s="113">
        <f>E55*(1+inflation)</f>
        <v>1.03</v>
      </c>
      <c r="G55" s="113">
        <f>F55*(1+inflation)</f>
        <v>1.0609</v>
      </c>
      <c r="H55" s="113">
        <f>G55*(1+inflation)</f>
        <v>1.092727</v>
      </c>
      <c r="I55" s="113">
        <f>H55*(1+inflation)</f>
        <v>1.1255088100000001</v>
      </c>
      <c r="J55" s="113">
        <f>I55*(1+inflation)</f>
        <v>1.1592740743</v>
      </c>
    </row>
    <row r="56" spans="2:10" ht="10.5" outlineLevel="1" thickBot="1">
      <c r="B56" s="114" t="s">
        <v>188</v>
      </c>
      <c r="C56" s="114" t="s">
        <v>189</v>
      </c>
      <c r="D56" s="93" t="s">
        <v>196</v>
      </c>
      <c r="E56" s="116" t="s">
        <v>38</v>
      </c>
      <c r="F56" s="116" t="s">
        <v>39</v>
      </c>
      <c r="G56" s="116" t="s">
        <v>40</v>
      </c>
      <c r="H56" s="116" t="s">
        <v>41</v>
      </c>
      <c r="I56" s="116" t="s">
        <v>42</v>
      </c>
      <c r="J56" s="117" t="s">
        <v>43</v>
      </c>
    </row>
    <row r="57" spans="2:10" ht="9.75" outlineLevel="1">
      <c r="B57" s="56" t="str">
        <f>rail1</f>
        <v>Cloudbreak to Port Dumper</v>
      </c>
      <c r="C57" s="8">
        <f aca="true" t="shared" si="4" ref="C57:C76">VLOOKUP($B57,raildata,3,FALSE)</f>
        <v>273534</v>
      </c>
      <c r="D57" s="6">
        <f aca="true" t="shared" si="5" ref="D57:D76">IF(VLOOKUP($B57,raildata,2,FALSE)="Yes",1,0)</f>
        <v>1</v>
      </c>
      <c r="E57" s="103">
        <f aca="true" t="shared" si="6" ref="E57:J57">$C$48*E$55*$C57/$C$77*$D57</f>
        <v>17104293</v>
      </c>
      <c r="F57" s="95">
        <f t="shared" si="6"/>
        <v>17617421.79</v>
      </c>
      <c r="G57" s="95">
        <f t="shared" si="6"/>
        <v>18145944.4437</v>
      </c>
      <c r="H57" s="95">
        <f t="shared" si="6"/>
        <v>18690322.777011</v>
      </c>
      <c r="I57" s="95">
        <f t="shared" si="6"/>
        <v>19251032.460321333</v>
      </c>
      <c r="J57" s="120">
        <f t="shared" si="6"/>
        <v>19828563.43413097</v>
      </c>
    </row>
    <row r="58" spans="2:10" ht="9.75" outlineLevel="1">
      <c r="B58" s="57" t="str">
        <f>rail2</f>
        <v>Route 2</v>
      </c>
      <c r="C58" s="8">
        <f t="shared" si="4"/>
        <v>0</v>
      </c>
      <c r="D58" s="6">
        <f t="shared" si="5"/>
        <v>0</v>
      </c>
      <c r="E58" s="37">
        <f aca="true" t="shared" si="7" ref="E58:J76">$C$48*E$55*$C58/$C$77*$D58</f>
        <v>0</v>
      </c>
      <c r="F58" s="29">
        <f t="shared" si="7"/>
        <v>0</v>
      </c>
      <c r="G58" s="29">
        <f t="shared" si="7"/>
        <v>0</v>
      </c>
      <c r="H58" s="29">
        <f t="shared" si="7"/>
        <v>0</v>
      </c>
      <c r="I58" s="29">
        <f t="shared" si="7"/>
        <v>0</v>
      </c>
      <c r="J58" s="41">
        <f t="shared" si="7"/>
        <v>0</v>
      </c>
    </row>
    <row r="59" spans="2:10" ht="9.75" outlineLevel="1">
      <c r="B59" s="57" t="str">
        <f>rail3</f>
        <v>Route 3</v>
      </c>
      <c r="C59" s="8">
        <f t="shared" si="4"/>
        <v>0</v>
      </c>
      <c r="D59" s="6">
        <f t="shared" si="5"/>
        <v>0</v>
      </c>
      <c r="E59" s="37">
        <f t="shared" si="7"/>
        <v>0</v>
      </c>
      <c r="F59" s="29">
        <f t="shared" si="7"/>
        <v>0</v>
      </c>
      <c r="G59" s="29">
        <f t="shared" si="7"/>
        <v>0</v>
      </c>
      <c r="H59" s="29">
        <f t="shared" si="7"/>
        <v>0</v>
      </c>
      <c r="I59" s="29">
        <f t="shared" si="7"/>
        <v>0</v>
      </c>
      <c r="J59" s="41">
        <f t="shared" si="7"/>
        <v>0</v>
      </c>
    </row>
    <row r="60" spans="2:10" ht="9.75" outlineLevel="1">
      <c r="B60" s="57" t="str">
        <f>rail4</f>
        <v>Route 4</v>
      </c>
      <c r="C60" s="8">
        <f t="shared" si="4"/>
        <v>0</v>
      </c>
      <c r="D60" s="6">
        <f t="shared" si="5"/>
        <v>0</v>
      </c>
      <c r="E60" s="37">
        <f t="shared" si="7"/>
        <v>0</v>
      </c>
      <c r="F60" s="29">
        <f t="shared" si="7"/>
        <v>0</v>
      </c>
      <c r="G60" s="29">
        <f t="shared" si="7"/>
        <v>0</v>
      </c>
      <c r="H60" s="29">
        <f t="shared" si="7"/>
        <v>0</v>
      </c>
      <c r="I60" s="29">
        <f t="shared" si="7"/>
        <v>0</v>
      </c>
      <c r="J60" s="41">
        <f t="shared" si="7"/>
        <v>0</v>
      </c>
    </row>
    <row r="61" spans="2:10" ht="9.75" outlineLevel="1">
      <c r="B61" s="57" t="str">
        <f>rail5</f>
        <v>Route 5</v>
      </c>
      <c r="C61" s="8">
        <f t="shared" si="4"/>
        <v>0</v>
      </c>
      <c r="D61" s="6">
        <f t="shared" si="5"/>
        <v>0</v>
      </c>
      <c r="E61" s="37">
        <f t="shared" si="7"/>
        <v>0</v>
      </c>
      <c r="F61" s="29">
        <f t="shared" si="7"/>
        <v>0</v>
      </c>
      <c r="G61" s="29">
        <f t="shared" si="7"/>
        <v>0</v>
      </c>
      <c r="H61" s="29">
        <f t="shared" si="7"/>
        <v>0</v>
      </c>
      <c r="I61" s="29">
        <f t="shared" si="7"/>
        <v>0</v>
      </c>
      <c r="J61" s="41">
        <f t="shared" si="7"/>
        <v>0</v>
      </c>
    </row>
    <row r="62" spans="2:10" ht="9.75" outlineLevel="1">
      <c r="B62" s="57" t="str">
        <f>rail6</f>
        <v>Route 6</v>
      </c>
      <c r="C62" s="8">
        <f t="shared" si="4"/>
        <v>0</v>
      </c>
      <c r="D62" s="6">
        <f t="shared" si="5"/>
        <v>0</v>
      </c>
      <c r="E62" s="37">
        <f t="shared" si="7"/>
        <v>0</v>
      </c>
      <c r="F62" s="29">
        <f t="shared" si="7"/>
        <v>0</v>
      </c>
      <c r="G62" s="29">
        <f t="shared" si="7"/>
        <v>0</v>
      </c>
      <c r="H62" s="29">
        <f t="shared" si="7"/>
        <v>0</v>
      </c>
      <c r="I62" s="29">
        <f t="shared" si="7"/>
        <v>0</v>
      </c>
      <c r="J62" s="41">
        <f t="shared" si="7"/>
        <v>0</v>
      </c>
    </row>
    <row r="63" spans="2:10" ht="9.75" outlineLevel="1">
      <c r="B63" s="57" t="str">
        <f>rail7</f>
        <v>Route 7</v>
      </c>
      <c r="C63" s="8">
        <f t="shared" si="4"/>
        <v>0</v>
      </c>
      <c r="D63" s="6">
        <f t="shared" si="5"/>
        <v>0</v>
      </c>
      <c r="E63" s="37">
        <f t="shared" si="7"/>
        <v>0</v>
      </c>
      <c r="F63" s="29">
        <f t="shared" si="7"/>
        <v>0</v>
      </c>
      <c r="G63" s="29">
        <f t="shared" si="7"/>
        <v>0</v>
      </c>
      <c r="H63" s="29">
        <f t="shared" si="7"/>
        <v>0</v>
      </c>
      <c r="I63" s="29">
        <f t="shared" si="7"/>
        <v>0</v>
      </c>
      <c r="J63" s="41">
        <f t="shared" si="7"/>
        <v>0</v>
      </c>
    </row>
    <row r="64" spans="2:10" ht="9.75" outlineLevel="1">
      <c r="B64" s="57" t="str">
        <f>rail8</f>
        <v>Route 8</v>
      </c>
      <c r="C64" s="8">
        <f t="shared" si="4"/>
        <v>0</v>
      </c>
      <c r="D64" s="6">
        <f t="shared" si="5"/>
        <v>0</v>
      </c>
      <c r="E64" s="37">
        <f t="shared" si="7"/>
        <v>0</v>
      </c>
      <c r="F64" s="29">
        <f t="shared" si="7"/>
        <v>0</v>
      </c>
      <c r="G64" s="29">
        <f t="shared" si="7"/>
        <v>0</v>
      </c>
      <c r="H64" s="29">
        <f t="shared" si="7"/>
        <v>0</v>
      </c>
      <c r="I64" s="29">
        <f t="shared" si="7"/>
        <v>0</v>
      </c>
      <c r="J64" s="41">
        <f t="shared" si="7"/>
        <v>0</v>
      </c>
    </row>
    <row r="65" spans="2:10" ht="9.75" outlineLevel="1">
      <c r="B65" s="57" t="str">
        <f>rail9</f>
        <v>Route 9</v>
      </c>
      <c r="C65" s="8">
        <f t="shared" si="4"/>
        <v>0</v>
      </c>
      <c r="D65" s="6">
        <f t="shared" si="5"/>
        <v>0</v>
      </c>
      <c r="E65" s="37">
        <f t="shared" si="7"/>
        <v>0</v>
      </c>
      <c r="F65" s="29">
        <f t="shared" si="7"/>
        <v>0</v>
      </c>
      <c r="G65" s="29">
        <f t="shared" si="7"/>
        <v>0</v>
      </c>
      <c r="H65" s="29">
        <f t="shared" si="7"/>
        <v>0</v>
      </c>
      <c r="I65" s="29">
        <f t="shared" si="7"/>
        <v>0</v>
      </c>
      <c r="J65" s="41">
        <f t="shared" si="7"/>
        <v>0</v>
      </c>
    </row>
    <row r="66" spans="2:10" ht="9.75" outlineLevel="1">
      <c r="B66" s="57" t="str">
        <f>rail10</f>
        <v>Route 10</v>
      </c>
      <c r="C66" s="8">
        <f t="shared" si="4"/>
        <v>0</v>
      </c>
      <c r="D66" s="6">
        <f t="shared" si="5"/>
        <v>0</v>
      </c>
      <c r="E66" s="37">
        <f t="shared" si="7"/>
        <v>0</v>
      </c>
      <c r="F66" s="29">
        <f t="shared" si="7"/>
        <v>0</v>
      </c>
      <c r="G66" s="29">
        <f t="shared" si="7"/>
        <v>0</v>
      </c>
      <c r="H66" s="29">
        <f t="shared" si="7"/>
        <v>0</v>
      </c>
      <c r="I66" s="29">
        <f t="shared" si="7"/>
        <v>0</v>
      </c>
      <c r="J66" s="41">
        <f t="shared" si="7"/>
        <v>0</v>
      </c>
    </row>
    <row r="67" spans="2:10" ht="9.75" outlineLevel="1">
      <c r="B67" s="57" t="str">
        <f>rail11</f>
        <v>Route 11</v>
      </c>
      <c r="C67" s="8">
        <f t="shared" si="4"/>
        <v>0</v>
      </c>
      <c r="D67" s="6">
        <f t="shared" si="5"/>
        <v>0</v>
      </c>
      <c r="E67" s="37">
        <f t="shared" si="7"/>
        <v>0</v>
      </c>
      <c r="F67" s="29">
        <f t="shared" si="7"/>
        <v>0</v>
      </c>
      <c r="G67" s="29">
        <f t="shared" si="7"/>
        <v>0</v>
      </c>
      <c r="H67" s="29">
        <f t="shared" si="7"/>
        <v>0</v>
      </c>
      <c r="I67" s="29">
        <f t="shared" si="7"/>
        <v>0</v>
      </c>
      <c r="J67" s="41">
        <f t="shared" si="7"/>
        <v>0</v>
      </c>
    </row>
    <row r="68" spans="2:10" ht="9.75" outlineLevel="1">
      <c r="B68" s="57" t="str">
        <f>rail12</f>
        <v>Route 12</v>
      </c>
      <c r="C68" s="8">
        <f t="shared" si="4"/>
        <v>0</v>
      </c>
      <c r="D68" s="6">
        <f t="shared" si="5"/>
        <v>0</v>
      </c>
      <c r="E68" s="37">
        <f t="shared" si="7"/>
        <v>0</v>
      </c>
      <c r="F68" s="29">
        <f t="shared" si="7"/>
        <v>0</v>
      </c>
      <c r="G68" s="29">
        <f t="shared" si="7"/>
        <v>0</v>
      </c>
      <c r="H68" s="29">
        <f t="shared" si="7"/>
        <v>0</v>
      </c>
      <c r="I68" s="29">
        <f t="shared" si="7"/>
        <v>0</v>
      </c>
      <c r="J68" s="41">
        <f t="shared" si="7"/>
        <v>0</v>
      </c>
    </row>
    <row r="69" spans="2:10" ht="9.75" outlineLevel="1">
      <c r="B69" s="57" t="str">
        <f>rail13</f>
        <v>Route 13</v>
      </c>
      <c r="C69" s="8">
        <f t="shared" si="4"/>
        <v>0</v>
      </c>
      <c r="D69" s="6">
        <f t="shared" si="5"/>
        <v>0</v>
      </c>
      <c r="E69" s="37">
        <f t="shared" si="7"/>
        <v>0</v>
      </c>
      <c r="F69" s="29">
        <f t="shared" si="7"/>
        <v>0</v>
      </c>
      <c r="G69" s="29">
        <f t="shared" si="7"/>
        <v>0</v>
      </c>
      <c r="H69" s="29">
        <f t="shared" si="7"/>
        <v>0</v>
      </c>
      <c r="I69" s="29">
        <f t="shared" si="7"/>
        <v>0</v>
      </c>
      <c r="J69" s="41">
        <f t="shared" si="7"/>
        <v>0</v>
      </c>
    </row>
    <row r="70" spans="2:10" ht="9.75" outlineLevel="1">
      <c r="B70" s="57" t="str">
        <f>rail14</f>
        <v>Route 14</v>
      </c>
      <c r="C70" s="8">
        <f t="shared" si="4"/>
        <v>0</v>
      </c>
      <c r="D70" s="6">
        <f t="shared" si="5"/>
        <v>0</v>
      </c>
      <c r="E70" s="37">
        <f t="shared" si="7"/>
        <v>0</v>
      </c>
      <c r="F70" s="29">
        <f t="shared" si="7"/>
        <v>0</v>
      </c>
      <c r="G70" s="29">
        <f t="shared" si="7"/>
        <v>0</v>
      </c>
      <c r="H70" s="29">
        <f t="shared" si="7"/>
        <v>0</v>
      </c>
      <c r="I70" s="29">
        <f t="shared" si="7"/>
        <v>0</v>
      </c>
      <c r="J70" s="41">
        <f t="shared" si="7"/>
        <v>0</v>
      </c>
    </row>
    <row r="71" spans="2:10" ht="9.75" outlineLevel="1">
      <c r="B71" s="57" t="str">
        <f>rail15</f>
        <v>Route 15</v>
      </c>
      <c r="C71" s="8">
        <f t="shared" si="4"/>
        <v>0</v>
      </c>
      <c r="D71" s="6">
        <f t="shared" si="5"/>
        <v>0</v>
      </c>
      <c r="E71" s="37">
        <f t="shared" si="7"/>
        <v>0</v>
      </c>
      <c r="F71" s="29">
        <f t="shared" si="7"/>
        <v>0</v>
      </c>
      <c r="G71" s="29">
        <f t="shared" si="7"/>
        <v>0</v>
      </c>
      <c r="H71" s="29">
        <f t="shared" si="7"/>
        <v>0</v>
      </c>
      <c r="I71" s="29">
        <f t="shared" si="7"/>
        <v>0</v>
      </c>
      <c r="J71" s="41">
        <f t="shared" si="7"/>
        <v>0</v>
      </c>
    </row>
    <row r="72" spans="2:10" ht="9.75" outlineLevel="1">
      <c r="B72" s="57" t="str">
        <f>rail16</f>
        <v>Route 16</v>
      </c>
      <c r="C72" s="8">
        <f t="shared" si="4"/>
        <v>0</v>
      </c>
      <c r="D72" s="6">
        <f t="shared" si="5"/>
        <v>0</v>
      </c>
      <c r="E72" s="37">
        <f t="shared" si="7"/>
        <v>0</v>
      </c>
      <c r="F72" s="29">
        <f t="shared" si="7"/>
        <v>0</v>
      </c>
      <c r="G72" s="29">
        <f t="shared" si="7"/>
        <v>0</v>
      </c>
      <c r="H72" s="29">
        <f t="shared" si="7"/>
        <v>0</v>
      </c>
      <c r="I72" s="29">
        <f t="shared" si="7"/>
        <v>0</v>
      </c>
      <c r="J72" s="41">
        <f t="shared" si="7"/>
        <v>0</v>
      </c>
    </row>
    <row r="73" spans="2:10" ht="9.75" outlineLevel="1">
      <c r="B73" s="57" t="str">
        <f>rail17</f>
        <v>Route 17</v>
      </c>
      <c r="C73" s="8">
        <f t="shared" si="4"/>
        <v>0</v>
      </c>
      <c r="D73" s="6">
        <f t="shared" si="5"/>
        <v>0</v>
      </c>
      <c r="E73" s="37">
        <f t="shared" si="7"/>
        <v>0</v>
      </c>
      <c r="F73" s="29">
        <f t="shared" si="7"/>
        <v>0</v>
      </c>
      <c r="G73" s="29">
        <f t="shared" si="7"/>
        <v>0</v>
      </c>
      <c r="H73" s="29">
        <f t="shared" si="7"/>
        <v>0</v>
      </c>
      <c r="I73" s="29">
        <f t="shared" si="7"/>
        <v>0</v>
      </c>
      <c r="J73" s="41">
        <f t="shared" si="7"/>
        <v>0</v>
      </c>
    </row>
    <row r="74" spans="2:10" ht="9.75" outlineLevel="1">
      <c r="B74" s="57" t="str">
        <f>rail18</f>
        <v>Route 18</v>
      </c>
      <c r="C74" s="8">
        <f t="shared" si="4"/>
        <v>0</v>
      </c>
      <c r="D74" s="6">
        <f t="shared" si="5"/>
        <v>0</v>
      </c>
      <c r="E74" s="37">
        <f t="shared" si="7"/>
        <v>0</v>
      </c>
      <c r="F74" s="29">
        <f t="shared" si="7"/>
        <v>0</v>
      </c>
      <c r="G74" s="29">
        <f t="shared" si="7"/>
        <v>0</v>
      </c>
      <c r="H74" s="29">
        <f t="shared" si="7"/>
        <v>0</v>
      </c>
      <c r="I74" s="29">
        <f t="shared" si="7"/>
        <v>0</v>
      </c>
      <c r="J74" s="41">
        <f t="shared" si="7"/>
        <v>0</v>
      </c>
    </row>
    <row r="75" spans="2:10" ht="9.75" outlineLevel="1">
      <c r="B75" s="57" t="str">
        <f>rail19</f>
        <v>Route 19</v>
      </c>
      <c r="C75" s="8">
        <f t="shared" si="4"/>
        <v>0</v>
      </c>
      <c r="D75" s="6">
        <f t="shared" si="5"/>
        <v>0</v>
      </c>
      <c r="E75" s="37">
        <f t="shared" si="7"/>
        <v>0</v>
      </c>
      <c r="F75" s="29">
        <f t="shared" si="7"/>
        <v>0</v>
      </c>
      <c r="G75" s="29">
        <f t="shared" si="7"/>
        <v>0</v>
      </c>
      <c r="H75" s="29">
        <f t="shared" si="7"/>
        <v>0</v>
      </c>
      <c r="I75" s="29">
        <f t="shared" si="7"/>
        <v>0</v>
      </c>
      <c r="J75" s="41">
        <f t="shared" si="7"/>
        <v>0</v>
      </c>
    </row>
    <row r="76" spans="2:10" ht="10.5" outlineLevel="1" thickBot="1">
      <c r="B76" s="57" t="str">
        <f>rail20</f>
        <v>Route 20</v>
      </c>
      <c r="C76" s="8">
        <f t="shared" si="4"/>
        <v>0</v>
      </c>
      <c r="D76" s="6">
        <f t="shared" si="5"/>
        <v>0</v>
      </c>
      <c r="E76" s="101">
        <f t="shared" si="7"/>
        <v>0</v>
      </c>
      <c r="F76" s="97">
        <f t="shared" si="7"/>
        <v>0</v>
      </c>
      <c r="G76" s="97">
        <f t="shared" si="7"/>
        <v>0</v>
      </c>
      <c r="H76" s="97">
        <f t="shared" si="7"/>
        <v>0</v>
      </c>
      <c r="I76" s="97">
        <f t="shared" si="7"/>
        <v>0</v>
      </c>
      <c r="J76" s="102">
        <f t="shared" si="7"/>
        <v>0</v>
      </c>
    </row>
    <row r="77" spans="2:10" ht="10.5" outlineLevel="1" thickBot="1">
      <c r="B77" s="50" t="s">
        <v>645</v>
      </c>
      <c r="C77" s="115">
        <f aca="true" t="shared" si="8" ref="C77:J77">SUM(C57:C76)</f>
        <v>273534</v>
      </c>
      <c r="D77" s="64">
        <f t="shared" si="8"/>
        <v>1</v>
      </c>
      <c r="E77" s="118">
        <f t="shared" si="8"/>
        <v>17104293</v>
      </c>
      <c r="F77" s="119">
        <f t="shared" si="8"/>
        <v>17617421.79</v>
      </c>
      <c r="G77" s="119">
        <f t="shared" si="8"/>
        <v>18145944.4437</v>
      </c>
      <c r="H77" s="119">
        <f>SUM(H57:H76)</f>
        <v>18690322.777011</v>
      </c>
      <c r="I77" s="119">
        <f t="shared" si="8"/>
        <v>19251032.460321333</v>
      </c>
      <c r="J77" s="98">
        <f t="shared" si="8"/>
        <v>19828563.43413097</v>
      </c>
    </row>
    <row r="78" spans="2:10" ht="9.75" outlineLevel="1">
      <c r="B78" s="1" t="s">
        <v>190</v>
      </c>
      <c r="C78" s="6" t="str">
        <f>IF(C77=raillength,"Ok","Error")</f>
        <v>Ok</v>
      </c>
      <c r="D78" s="6" t="str">
        <f>IF(D77=railsegments,"Ok","Error")</f>
        <v>Ok</v>
      </c>
      <c r="E78" s="6" t="str">
        <f aca="true" t="shared" si="9" ref="E78:J78">IF(ROUND(E$77,2)=ROUND($C$48*E$55,2),"Ok","Error")</f>
        <v>Ok</v>
      </c>
      <c r="F78" s="6" t="str">
        <f t="shared" si="9"/>
        <v>Ok</v>
      </c>
      <c r="G78" s="6" t="str">
        <f t="shared" si="9"/>
        <v>Ok</v>
      </c>
      <c r="H78" s="6" t="str">
        <f t="shared" si="9"/>
        <v>Ok</v>
      </c>
      <c r="I78" s="6" t="str">
        <f t="shared" si="9"/>
        <v>Ok</v>
      </c>
      <c r="J78" s="6" t="str">
        <f t="shared" si="9"/>
        <v>Ok</v>
      </c>
    </row>
    <row r="79" spans="2:3" ht="9.75" outlineLevel="1">
      <c r="B79" s="2" t="s">
        <v>191</v>
      </c>
      <c r="C79" s="9" t="str">
        <f>IF(COUNTIF(C78:J78,"Error")&gt;0,"Error","All Ok")</f>
        <v>All Ok</v>
      </c>
    </row>
    <row r="82" spans="1:2" ht="9.75">
      <c r="A82" s="198" t="str">
        <f>HYPERLINK(CONCATENATE(workbookname,"$A$1"),"Top")</f>
        <v>Top</v>
      </c>
      <c r="B82" s="3" t="str">
        <f>Contents!B83</f>
        <v>Allocation of costs by Train KM - Equal Split / Direct</v>
      </c>
    </row>
    <row r="83" ht="10.5" thickBot="1">
      <c r="B83" s="171" t="str">
        <f>Contents!D83</f>
        <v>Operating costs that need to be split by train kms</v>
      </c>
    </row>
    <row r="84" spans="4:12" ht="10.5" outlineLevel="1" thickBot="1">
      <c r="D84" s="76" t="s">
        <v>194</v>
      </c>
      <c r="E84" s="66" t="str">
        <f>cust1</f>
        <v>FMG - CB</v>
      </c>
      <c r="F84" s="67" t="str">
        <f>cust2</f>
        <v>Customer 2</v>
      </c>
      <c r="G84" s="67" t="str">
        <f>cust3</f>
        <v>Customer 3</v>
      </c>
      <c r="H84" s="67" t="str">
        <f>cust4</f>
        <v>Customer 4</v>
      </c>
      <c r="I84" s="67" t="str">
        <f>cust5</f>
        <v>Customer 5</v>
      </c>
      <c r="J84" s="67" t="str">
        <f>cust6</f>
        <v>Customer 6</v>
      </c>
      <c r="K84" s="67" t="str">
        <f>cust7</f>
        <v>Customer 7</v>
      </c>
      <c r="L84" s="68" t="str">
        <f>cust8</f>
        <v>Customer 8</v>
      </c>
    </row>
    <row r="85" spans="2:12" ht="21" outlineLevel="1" thickBot="1">
      <c r="B85" s="114" t="s">
        <v>188</v>
      </c>
      <c r="C85" s="114" t="s">
        <v>189</v>
      </c>
      <c r="D85" s="92" t="s">
        <v>197</v>
      </c>
      <c r="E85" s="247" t="s">
        <v>198</v>
      </c>
      <c r="F85" s="248"/>
      <c r="G85" s="248"/>
      <c r="H85" s="248"/>
      <c r="I85" s="248"/>
      <c r="J85" s="248"/>
      <c r="K85" s="248"/>
      <c r="L85" s="249"/>
    </row>
    <row r="86" spans="2:12" ht="9.75" outlineLevel="1">
      <c r="B86" s="56" t="str">
        <f>rail1</f>
        <v>Cloudbreak to Port Dumper</v>
      </c>
      <c r="C86" s="37">
        <f aca="true" t="shared" si="10" ref="C86:C105">VLOOKUP($B86,raildata,3,FALSE)</f>
        <v>273534</v>
      </c>
      <c r="D86" s="39">
        <f aca="true" t="shared" si="11" ref="D86:D105">IF(VLOOKUP($B86,raildata,2,FALSE)="Yes",1,0)</f>
        <v>1</v>
      </c>
      <c r="E86" s="47">
        <f aca="true" t="shared" si="12" ref="E86:L95">IF(VLOOKUP($B86,railswitch,MATCH(E$84,railswitchhead,FALSE),FALSE)="On",1,0)</f>
        <v>1</v>
      </c>
      <c r="F86" s="48">
        <f t="shared" si="12"/>
        <v>0</v>
      </c>
      <c r="G86" s="48">
        <f t="shared" si="12"/>
        <v>0</v>
      </c>
      <c r="H86" s="48">
        <f t="shared" si="12"/>
        <v>0</v>
      </c>
      <c r="I86" s="48">
        <f t="shared" si="12"/>
        <v>0</v>
      </c>
      <c r="J86" s="48">
        <f t="shared" si="12"/>
        <v>0</v>
      </c>
      <c r="K86" s="48">
        <f t="shared" si="12"/>
        <v>0</v>
      </c>
      <c r="L86" s="49">
        <f t="shared" si="12"/>
        <v>0</v>
      </c>
    </row>
    <row r="87" spans="2:12" ht="9.75" outlineLevel="1">
      <c r="B87" s="57" t="str">
        <f>rail2</f>
        <v>Route 2</v>
      </c>
      <c r="C87" s="37">
        <f t="shared" si="10"/>
        <v>0</v>
      </c>
      <c r="D87" s="39">
        <f t="shared" si="11"/>
        <v>0</v>
      </c>
      <c r="E87" s="38">
        <f t="shared" si="12"/>
        <v>0</v>
      </c>
      <c r="F87" s="33">
        <f t="shared" si="12"/>
        <v>0</v>
      </c>
      <c r="G87" s="33">
        <f t="shared" si="12"/>
        <v>0</v>
      </c>
      <c r="H87" s="33">
        <f t="shared" si="12"/>
        <v>0</v>
      </c>
      <c r="I87" s="33">
        <f t="shared" si="12"/>
        <v>0</v>
      </c>
      <c r="J87" s="33">
        <f t="shared" si="12"/>
        <v>0</v>
      </c>
      <c r="K87" s="33">
        <f t="shared" si="12"/>
        <v>0</v>
      </c>
      <c r="L87" s="39">
        <f t="shared" si="12"/>
        <v>0</v>
      </c>
    </row>
    <row r="88" spans="2:12" ht="9.75" outlineLevel="1">
      <c r="B88" s="57" t="str">
        <f>rail3</f>
        <v>Route 3</v>
      </c>
      <c r="C88" s="37">
        <f t="shared" si="10"/>
        <v>0</v>
      </c>
      <c r="D88" s="39">
        <f t="shared" si="11"/>
        <v>0</v>
      </c>
      <c r="E88" s="38">
        <f t="shared" si="12"/>
        <v>0</v>
      </c>
      <c r="F88" s="33">
        <f t="shared" si="12"/>
        <v>0</v>
      </c>
      <c r="G88" s="33">
        <f t="shared" si="12"/>
        <v>0</v>
      </c>
      <c r="H88" s="33">
        <f t="shared" si="12"/>
        <v>0</v>
      </c>
      <c r="I88" s="33">
        <f t="shared" si="12"/>
        <v>0</v>
      </c>
      <c r="J88" s="33">
        <f t="shared" si="12"/>
        <v>0</v>
      </c>
      <c r="K88" s="33">
        <f t="shared" si="12"/>
        <v>0</v>
      </c>
      <c r="L88" s="39">
        <f t="shared" si="12"/>
        <v>0</v>
      </c>
    </row>
    <row r="89" spans="2:12" ht="9.75" outlineLevel="1">
      <c r="B89" s="57" t="str">
        <f>rail4</f>
        <v>Route 4</v>
      </c>
      <c r="C89" s="37">
        <f t="shared" si="10"/>
        <v>0</v>
      </c>
      <c r="D89" s="39">
        <f t="shared" si="11"/>
        <v>0</v>
      </c>
      <c r="E89" s="38">
        <f t="shared" si="12"/>
        <v>0</v>
      </c>
      <c r="F89" s="33">
        <f t="shared" si="12"/>
        <v>0</v>
      </c>
      <c r="G89" s="33">
        <f t="shared" si="12"/>
        <v>0</v>
      </c>
      <c r="H89" s="33">
        <f t="shared" si="12"/>
        <v>0</v>
      </c>
      <c r="I89" s="33">
        <f t="shared" si="12"/>
        <v>0</v>
      </c>
      <c r="J89" s="33">
        <f t="shared" si="12"/>
        <v>0</v>
      </c>
      <c r="K89" s="33">
        <f t="shared" si="12"/>
        <v>0</v>
      </c>
      <c r="L89" s="39">
        <f t="shared" si="12"/>
        <v>0</v>
      </c>
    </row>
    <row r="90" spans="2:12" ht="9.75" outlineLevel="1">
      <c r="B90" s="57" t="str">
        <f>rail5</f>
        <v>Route 5</v>
      </c>
      <c r="C90" s="37">
        <f t="shared" si="10"/>
        <v>0</v>
      </c>
      <c r="D90" s="39">
        <f t="shared" si="11"/>
        <v>0</v>
      </c>
      <c r="E90" s="38">
        <f t="shared" si="12"/>
        <v>0</v>
      </c>
      <c r="F90" s="33">
        <f t="shared" si="12"/>
        <v>0</v>
      </c>
      <c r="G90" s="33">
        <f t="shared" si="12"/>
        <v>0</v>
      </c>
      <c r="H90" s="33">
        <f t="shared" si="12"/>
        <v>0</v>
      </c>
      <c r="I90" s="33">
        <f t="shared" si="12"/>
        <v>0</v>
      </c>
      <c r="J90" s="33">
        <f t="shared" si="12"/>
        <v>0</v>
      </c>
      <c r="K90" s="33">
        <f t="shared" si="12"/>
        <v>0</v>
      </c>
      <c r="L90" s="39">
        <f t="shared" si="12"/>
        <v>0</v>
      </c>
    </row>
    <row r="91" spans="2:12" ht="9.75" outlineLevel="1">
      <c r="B91" s="57" t="str">
        <f>rail6</f>
        <v>Route 6</v>
      </c>
      <c r="C91" s="37">
        <f t="shared" si="10"/>
        <v>0</v>
      </c>
      <c r="D91" s="39">
        <f t="shared" si="11"/>
        <v>0</v>
      </c>
      <c r="E91" s="38">
        <f t="shared" si="12"/>
        <v>0</v>
      </c>
      <c r="F91" s="33">
        <f t="shared" si="12"/>
        <v>0</v>
      </c>
      <c r="G91" s="33">
        <f t="shared" si="12"/>
        <v>0</v>
      </c>
      <c r="H91" s="33">
        <f t="shared" si="12"/>
        <v>0</v>
      </c>
      <c r="I91" s="33">
        <f t="shared" si="12"/>
        <v>0</v>
      </c>
      <c r="J91" s="33">
        <f t="shared" si="12"/>
        <v>0</v>
      </c>
      <c r="K91" s="33">
        <f t="shared" si="12"/>
        <v>0</v>
      </c>
      <c r="L91" s="39">
        <f t="shared" si="12"/>
        <v>0</v>
      </c>
    </row>
    <row r="92" spans="2:12" ht="9.75" outlineLevel="1">
      <c r="B92" s="57" t="str">
        <f>rail7</f>
        <v>Route 7</v>
      </c>
      <c r="C92" s="37">
        <f t="shared" si="10"/>
        <v>0</v>
      </c>
      <c r="D92" s="39">
        <f t="shared" si="11"/>
        <v>0</v>
      </c>
      <c r="E92" s="38">
        <f t="shared" si="12"/>
        <v>0</v>
      </c>
      <c r="F92" s="33">
        <f t="shared" si="12"/>
        <v>0</v>
      </c>
      <c r="G92" s="33">
        <f t="shared" si="12"/>
        <v>0</v>
      </c>
      <c r="H92" s="33">
        <f t="shared" si="12"/>
        <v>0</v>
      </c>
      <c r="I92" s="33">
        <f t="shared" si="12"/>
        <v>0</v>
      </c>
      <c r="J92" s="33">
        <f t="shared" si="12"/>
        <v>0</v>
      </c>
      <c r="K92" s="33">
        <f t="shared" si="12"/>
        <v>0</v>
      </c>
      <c r="L92" s="39">
        <f t="shared" si="12"/>
        <v>0</v>
      </c>
    </row>
    <row r="93" spans="2:12" ht="9.75" outlineLevel="1">
      <c r="B93" s="57" t="str">
        <f>rail8</f>
        <v>Route 8</v>
      </c>
      <c r="C93" s="37">
        <f t="shared" si="10"/>
        <v>0</v>
      </c>
      <c r="D93" s="39">
        <f t="shared" si="11"/>
        <v>0</v>
      </c>
      <c r="E93" s="38">
        <f t="shared" si="12"/>
        <v>0</v>
      </c>
      <c r="F93" s="33">
        <f t="shared" si="12"/>
        <v>0</v>
      </c>
      <c r="G93" s="33">
        <f t="shared" si="12"/>
        <v>0</v>
      </c>
      <c r="H93" s="33">
        <f t="shared" si="12"/>
        <v>0</v>
      </c>
      <c r="I93" s="33">
        <f t="shared" si="12"/>
        <v>0</v>
      </c>
      <c r="J93" s="33">
        <f t="shared" si="12"/>
        <v>0</v>
      </c>
      <c r="K93" s="33">
        <f t="shared" si="12"/>
        <v>0</v>
      </c>
      <c r="L93" s="39">
        <f t="shared" si="12"/>
        <v>0</v>
      </c>
    </row>
    <row r="94" spans="2:12" ht="9.75" outlineLevel="1">
      <c r="B94" s="57" t="str">
        <f>rail9</f>
        <v>Route 9</v>
      </c>
      <c r="C94" s="37">
        <f t="shared" si="10"/>
        <v>0</v>
      </c>
      <c r="D94" s="39">
        <f t="shared" si="11"/>
        <v>0</v>
      </c>
      <c r="E94" s="38">
        <f t="shared" si="12"/>
        <v>0</v>
      </c>
      <c r="F94" s="33">
        <f t="shared" si="12"/>
        <v>0</v>
      </c>
      <c r="G94" s="33">
        <f t="shared" si="12"/>
        <v>0</v>
      </c>
      <c r="H94" s="33">
        <f t="shared" si="12"/>
        <v>0</v>
      </c>
      <c r="I94" s="33">
        <f t="shared" si="12"/>
        <v>0</v>
      </c>
      <c r="J94" s="33">
        <f t="shared" si="12"/>
        <v>0</v>
      </c>
      <c r="K94" s="33">
        <f t="shared" si="12"/>
        <v>0</v>
      </c>
      <c r="L94" s="39">
        <f t="shared" si="12"/>
        <v>0</v>
      </c>
    </row>
    <row r="95" spans="2:12" ht="9.75" outlineLevel="1">
      <c r="B95" s="57" t="str">
        <f>rail10</f>
        <v>Route 10</v>
      </c>
      <c r="C95" s="37">
        <f t="shared" si="10"/>
        <v>0</v>
      </c>
      <c r="D95" s="39">
        <f t="shared" si="11"/>
        <v>0</v>
      </c>
      <c r="E95" s="38">
        <f t="shared" si="12"/>
        <v>0</v>
      </c>
      <c r="F95" s="33">
        <f t="shared" si="12"/>
        <v>0</v>
      </c>
      <c r="G95" s="33">
        <f t="shared" si="12"/>
        <v>0</v>
      </c>
      <c r="H95" s="33">
        <f t="shared" si="12"/>
        <v>0</v>
      </c>
      <c r="I95" s="33">
        <f t="shared" si="12"/>
        <v>0</v>
      </c>
      <c r="J95" s="33">
        <f t="shared" si="12"/>
        <v>0</v>
      </c>
      <c r="K95" s="33">
        <f t="shared" si="12"/>
        <v>0</v>
      </c>
      <c r="L95" s="39">
        <f t="shared" si="12"/>
        <v>0</v>
      </c>
    </row>
    <row r="96" spans="2:12" ht="9.75" outlineLevel="1">
      <c r="B96" s="57" t="str">
        <f>rail11</f>
        <v>Route 11</v>
      </c>
      <c r="C96" s="37">
        <f t="shared" si="10"/>
        <v>0</v>
      </c>
      <c r="D96" s="39">
        <f t="shared" si="11"/>
        <v>0</v>
      </c>
      <c r="E96" s="38">
        <f aca="true" t="shared" si="13" ref="E96:L105">IF(VLOOKUP($B96,railswitch,MATCH(E$84,railswitchhead,FALSE),FALSE)="On",1,0)</f>
        <v>0</v>
      </c>
      <c r="F96" s="33">
        <f t="shared" si="13"/>
        <v>0</v>
      </c>
      <c r="G96" s="33">
        <f t="shared" si="13"/>
        <v>0</v>
      </c>
      <c r="H96" s="33">
        <f t="shared" si="13"/>
        <v>0</v>
      </c>
      <c r="I96" s="33">
        <f t="shared" si="13"/>
        <v>0</v>
      </c>
      <c r="J96" s="33">
        <f t="shared" si="13"/>
        <v>0</v>
      </c>
      <c r="K96" s="33">
        <f t="shared" si="13"/>
        <v>0</v>
      </c>
      <c r="L96" s="39">
        <f t="shared" si="13"/>
        <v>0</v>
      </c>
    </row>
    <row r="97" spans="2:12" ht="9.75" outlineLevel="1">
      <c r="B97" s="57" t="str">
        <f>rail12</f>
        <v>Route 12</v>
      </c>
      <c r="C97" s="37">
        <f t="shared" si="10"/>
        <v>0</v>
      </c>
      <c r="D97" s="39">
        <f t="shared" si="11"/>
        <v>0</v>
      </c>
      <c r="E97" s="38">
        <f t="shared" si="13"/>
        <v>0</v>
      </c>
      <c r="F97" s="33">
        <f t="shared" si="13"/>
        <v>0</v>
      </c>
      <c r="G97" s="33">
        <f t="shared" si="13"/>
        <v>0</v>
      </c>
      <c r="H97" s="33">
        <f t="shared" si="13"/>
        <v>0</v>
      </c>
      <c r="I97" s="33">
        <f t="shared" si="13"/>
        <v>0</v>
      </c>
      <c r="J97" s="33">
        <f t="shared" si="13"/>
        <v>0</v>
      </c>
      <c r="K97" s="33">
        <f t="shared" si="13"/>
        <v>0</v>
      </c>
      <c r="L97" s="39">
        <f t="shared" si="13"/>
        <v>0</v>
      </c>
    </row>
    <row r="98" spans="2:12" ht="9.75" outlineLevel="1">
      <c r="B98" s="57" t="str">
        <f>rail13</f>
        <v>Route 13</v>
      </c>
      <c r="C98" s="37">
        <f t="shared" si="10"/>
        <v>0</v>
      </c>
      <c r="D98" s="39">
        <f t="shared" si="11"/>
        <v>0</v>
      </c>
      <c r="E98" s="38">
        <f t="shared" si="13"/>
        <v>0</v>
      </c>
      <c r="F98" s="33">
        <f t="shared" si="13"/>
        <v>0</v>
      </c>
      <c r="G98" s="33">
        <f t="shared" si="13"/>
        <v>0</v>
      </c>
      <c r="H98" s="33">
        <f t="shared" si="13"/>
        <v>0</v>
      </c>
      <c r="I98" s="33">
        <f t="shared" si="13"/>
        <v>0</v>
      </c>
      <c r="J98" s="33">
        <f t="shared" si="13"/>
        <v>0</v>
      </c>
      <c r="K98" s="33">
        <f t="shared" si="13"/>
        <v>0</v>
      </c>
      <c r="L98" s="39">
        <f t="shared" si="13"/>
        <v>0</v>
      </c>
    </row>
    <row r="99" spans="2:12" ht="9.75" outlineLevel="1">
      <c r="B99" s="57" t="str">
        <f>rail14</f>
        <v>Route 14</v>
      </c>
      <c r="C99" s="37">
        <f t="shared" si="10"/>
        <v>0</v>
      </c>
      <c r="D99" s="39">
        <f t="shared" si="11"/>
        <v>0</v>
      </c>
      <c r="E99" s="38">
        <f t="shared" si="13"/>
        <v>0</v>
      </c>
      <c r="F99" s="33">
        <f t="shared" si="13"/>
        <v>0</v>
      </c>
      <c r="G99" s="33">
        <f t="shared" si="13"/>
        <v>0</v>
      </c>
      <c r="H99" s="33">
        <f t="shared" si="13"/>
        <v>0</v>
      </c>
      <c r="I99" s="33">
        <f t="shared" si="13"/>
        <v>0</v>
      </c>
      <c r="J99" s="33">
        <f t="shared" si="13"/>
        <v>0</v>
      </c>
      <c r="K99" s="33">
        <f t="shared" si="13"/>
        <v>0</v>
      </c>
      <c r="L99" s="39">
        <f t="shared" si="13"/>
        <v>0</v>
      </c>
    </row>
    <row r="100" spans="2:12" ht="9.75" outlineLevel="1">
      <c r="B100" s="57" t="str">
        <f>rail15</f>
        <v>Route 15</v>
      </c>
      <c r="C100" s="37">
        <f t="shared" si="10"/>
        <v>0</v>
      </c>
      <c r="D100" s="39">
        <f t="shared" si="11"/>
        <v>0</v>
      </c>
      <c r="E100" s="38">
        <f t="shared" si="13"/>
        <v>0</v>
      </c>
      <c r="F100" s="33">
        <f t="shared" si="13"/>
        <v>0</v>
      </c>
      <c r="G100" s="33">
        <f t="shared" si="13"/>
        <v>0</v>
      </c>
      <c r="H100" s="33">
        <f t="shared" si="13"/>
        <v>0</v>
      </c>
      <c r="I100" s="33">
        <f t="shared" si="13"/>
        <v>0</v>
      </c>
      <c r="J100" s="33">
        <f t="shared" si="13"/>
        <v>0</v>
      </c>
      <c r="K100" s="33">
        <f t="shared" si="13"/>
        <v>0</v>
      </c>
      <c r="L100" s="39">
        <f t="shared" si="13"/>
        <v>0</v>
      </c>
    </row>
    <row r="101" spans="2:12" ht="9.75" outlineLevel="1">
      <c r="B101" s="57" t="str">
        <f>rail16</f>
        <v>Route 16</v>
      </c>
      <c r="C101" s="37">
        <f t="shared" si="10"/>
        <v>0</v>
      </c>
      <c r="D101" s="39">
        <f t="shared" si="11"/>
        <v>0</v>
      </c>
      <c r="E101" s="38">
        <f t="shared" si="13"/>
        <v>0</v>
      </c>
      <c r="F101" s="33">
        <f t="shared" si="13"/>
        <v>0</v>
      </c>
      <c r="G101" s="33">
        <f t="shared" si="13"/>
        <v>0</v>
      </c>
      <c r="H101" s="33">
        <f t="shared" si="13"/>
        <v>0</v>
      </c>
      <c r="I101" s="33">
        <f t="shared" si="13"/>
        <v>0</v>
      </c>
      <c r="J101" s="33">
        <f t="shared" si="13"/>
        <v>0</v>
      </c>
      <c r="K101" s="33">
        <f t="shared" si="13"/>
        <v>0</v>
      </c>
      <c r="L101" s="39">
        <f t="shared" si="13"/>
        <v>0</v>
      </c>
    </row>
    <row r="102" spans="2:12" ht="9.75" outlineLevel="1">
      <c r="B102" s="57" t="str">
        <f>rail17</f>
        <v>Route 17</v>
      </c>
      <c r="C102" s="37">
        <f t="shared" si="10"/>
        <v>0</v>
      </c>
      <c r="D102" s="39">
        <f t="shared" si="11"/>
        <v>0</v>
      </c>
      <c r="E102" s="38">
        <f t="shared" si="13"/>
        <v>0</v>
      </c>
      <c r="F102" s="33">
        <f t="shared" si="13"/>
        <v>0</v>
      </c>
      <c r="G102" s="33">
        <f t="shared" si="13"/>
        <v>0</v>
      </c>
      <c r="H102" s="33">
        <f t="shared" si="13"/>
        <v>0</v>
      </c>
      <c r="I102" s="33">
        <f t="shared" si="13"/>
        <v>0</v>
      </c>
      <c r="J102" s="33">
        <f t="shared" si="13"/>
        <v>0</v>
      </c>
      <c r="K102" s="33">
        <f t="shared" si="13"/>
        <v>0</v>
      </c>
      <c r="L102" s="39">
        <f t="shared" si="13"/>
        <v>0</v>
      </c>
    </row>
    <row r="103" spans="2:12" ht="9.75" outlineLevel="1">
      <c r="B103" s="57" t="str">
        <f>rail18</f>
        <v>Route 18</v>
      </c>
      <c r="C103" s="37">
        <f t="shared" si="10"/>
        <v>0</v>
      </c>
      <c r="D103" s="39">
        <f t="shared" si="11"/>
        <v>0</v>
      </c>
      <c r="E103" s="38">
        <f t="shared" si="13"/>
        <v>0</v>
      </c>
      <c r="F103" s="33">
        <f t="shared" si="13"/>
        <v>0</v>
      </c>
      <c r="G103" s="33">
        <f t="shared" si="13"/>
        <v>0</v>
      </c>
      <c r="H103" s="33">
        <f t="shared" si="13"/>
        <v>0</v>
      </c>
      <c r="I103" s="33">
        <f t="shared" si="13"/>
        <v>0</v>
      </c>
      <c r="J103" s="33">
        <f t="shared" si="13"/>
        <v>0</v>
      </c>
      <c r="K103" s="33">
        <f t="shared" si="13"/>
        <v>0</v>
      </c>
      <c r="L103" s="39">
        <f t="shared" si="13"/>
        <v>0</v>
      </c>
    </row>
    <row r="104" spans="2:12" ht="9.75" outlineLevel="1">
      <c r="B104" s="57" t="str">
        <f>rail19</f>
        <v>Route 19</v>
      </c>
      <c r="C104" s="37">
        <f t="shared" si="10"/>
        <v>0</v>
      </c>
      <c r="D104" s="39">
        <f t="shared" si="11"/>
        <v>0</v>
      </c>
      <c r="E104" s="38">
        <f t="shared" si="13"/>
        <v>0</v>
      </c>
      <c r="F104" s="33">
        <f t="shared" si="13"/>
        <v>0</v>
      </c>
      <c r="G104" s="33">
        <f t="shared" si="13"/>
        <v>0</v>
      </c>
      <c r="H104" s="33">
        <f t="shared" si="13"/>
        <v>0</v>
      </c>
      <c r="I104" s="33">
        <f t="shared" si="13"/>
        <v>0</v>
      </c>
      <c r="J104" s="33">
        <f t="shared" si="13"/>
        <v>0</v>
      </c>
      <c r="K104" s="33">
        <f t="shared" si="13"/>
        <v>0</v>
      </c>
      <c r="L104" s="39">
        <f t="shared" si="13"/>
        <v>0</v>
      </c>
    </row>
    <row r="105" spans="2:12" ht="10.5" outlineLevel="1" thickBot="1">
      <c r="B105" s="57" t="str">
        <f>rail20</f>
        <v>Route 20</v>
      </c>
      <c r="C105" s="37">
        <f t="shared" si="10"/>
        <v>0</v>
      </c>
      <c r="D105" s="39">
        <f t="shared" si="11"/>
        <v>0</v>
      </c>
      <c r="E105" s="38">
        <f t="shared" si="13"/>
        <v>0</v>
      </c>
      <c r="F105" s="33">
        <f t="shared" si="13"/>
        <v>0</v>
      </c>
      <c r="G105" s="33">
        <f t="shared" si="13"/>
        <v>0</v>
      </c>
      <c r="H105" s="33">
        <f t="shared" si="13"/>
        <v>0</v>
      </c>
      <c r="I105" s="33">
        <f t="shared" si="13"/>
        <v>0</v>
      </c>
      <c r="J105" s="33">
        <f t="shared" si="13"/>
        <v>0</v>
      </c>
      <c r="K105" s="33">
        <f t="shared" si="13"/>
        <v>0</v>
      </c>
      <c r="L105" s="39">
        <f t="shared" si="13"/>
        <v>0</v>
      </c>
    </row>
    <row r="106" spans="2:12" ht="10.5" outlineLevel="1" thickBot="1">
      <c r="B106" s="50" t="s">
        <v>645</v>
      </c>
      <c r="C106" s="115">
        <f>SUM(C86:C105)</f>
        <v>273534</v>
      </c>
      <c r="D106" s="65">
        <f>SUM(D86:D105)</f>
        <v>1</v>
      </c>
      <c r="E106" s="63">
        <f aca="true" t="shared" si="14" ref="E106:L106">SUM(E86:E105)</f>
        <v>1</v>
      </c>
      <c r="F106" s="64">
        <f t="shared" si="14"/>
        <v>0</v>
      </c>
      <c r="G106" s="64">
        <f t="shared" si="14"/>
        <v>0</v>
      </c>
      <c r="H106" s="64">
        <f t="shared" si="14"/>
        <v>0</v>
      </c>
      <c r="I106" s="64">
        <f t="shared" si="14"/>
        <v>0</v>
      </c>
      <c r="J106" s="64">
        <f t="shared" si="14"/>
        <v>0</v>
      </c>
      <c r="K106" s="64">
        <f t="shared" si="14"/>
        <v>0</v>
      </c>
      <c r="L106" s="65">
        <f t="shared" si="14"/>
        <v>0</v>
      </c>
    </row>
    <row r="107" spans="2:13" ht="10.5" outlineLevel="1" thickBot="1">
      <c r="B107" s="133"/>
      <c r="C107" s="20"/>
      <c r="D107" s="35"/>
      <c r="E107" s="48"/>
      <c r="F107" s="48"/>
      <c r="G107" s="48"/>
      <c r="H107" s="48"/>
      <c r="I107" s="48"/>
      <c r="J107" s="48"/>
      <c r="K107" s="48"/>
      <c r="L107" s="48"/>
      <c r="M107" s="35"/>
    </row>
    <row r="108" spans="4:12" ht="10.5" outlineLevel="1" thickBot="1">
      <c r="D108" s="76" t="s">
        <v>193</v>
      </c>
      <c r="E108" s="66">
        <f aca="true" t="shared" si="15" ref="E108:L108">VLOOKUP(E$84,custdata,3,FALSE)</f>
        <v>1217</v>
      </c>
      <c r="F108" s="67">
        <f t="shared" si="15"/>
        <v>0</v>
      </c>
      <c r="G108" s="67">
        <f t="shared" si="15"/>
        <v>0</v>
      </c>
      <c r="H108" s="67">
        <f t="shared" si="15"/>
        <v>0</v>
      </c>
      <c r="I108" s="67">
        <f t="shared" si="15"/>
        <v>0</v>
      </c>
      <c r="J108" s="67">
        <f t="shared" si="15"/>
        <v>0</v>
      </c>
      <c r="K108" s="67">
        <f t="shared" si="15"/>
        <v>0</v>
      </c>
      <c r="L108" s="68">
        <f t="shared" si="15"/>
        <v>0</v>
      </c>
    </row>
    <row r="109" spans="2:13" ht="21" outlineLevel="1" thickBot="1">
      <c r="B109" s="114" t="s">
        <v>188</v>
      </c>
      <c r="C109" s="114" t="s">
        <v>189</v>
      </c>
      <c r="D109" s="92" t="s">
        <v>195</v>
      </c>
      <c r="E109" s="250" t="s">
        <v>205</v>
      </c>
      <c r="F109" s="251"/>
      <c r="G109" s="251"/>
      <c r="H109" s="251"/>
      <c r="I109" s="251"/>
      <c r="J109" s="251"/>
      <c r="K109" s="251"/>
      <c r="L109" s="252"/>
      <c r="M109" s="134" t="s">
        <v>94</v>
      </c>
    </row>
    <row r="110" spans="2:13" ht="9.75" outlineLevel="1">
      <c r="B110" s="56" t="str">
        <f>rail1</f>
        <v>Cloudbreak to Port Dumper</v>
      </c>
      <c r="C110" s="37">
        <f aca="true" t="shared" si="16" ref="C110:C129">VLOOKUP($B110,raildata,3,FALSE)</f>
        <v>273534</v>
      </c>
      <c r="D110" s="33">
        <f aca="true" t="shared" si="17" ref="D110:D129">IF(VLOOKUP($B110,raildata,2,FALSE)="Yes",1,0)</f>
        <v>1</v>
      </c>
      <c r="E110" s="122">
        <f aca="true" t="shared" si="18" ref="E110:L119">E86*E$108*$D110*$C110</f>
        <v>332890878</v>
      </c>
      <c r="F110" s="124">
        <f t="shared" si="18"/>
        <v>0</v>
      </c>
      <c r="G110" s="124">
        <f t="shared" si="18"/>
        <v>0</v>
      </c>
      <c r="H110" s="124">
        <f t="shared" si="18"/>
        <v>0</v>
      </c>
      <c r="I110" s="124">
        <f t="shared" si="18"/>
        <v>0</v>
      </c>
      <c r="J110" s="124">
        <f t="shared" si="18"/>
        <v>0</v>
      </c>
      <c r="K110" s="124">
        <f t="shared" si="18"/>
        <v>0</v>
      </c>
      <c r="L110" s="124">
        <f t="shared" si="18"/>
        <v>0</v>
      </c>
      <c r="M110" s="104">
        <f aca="true" t="shared" si="19" ref="M110:M129">SUM(E110:L110)</f>
        <v>332890878</v>
      </c>
    </row>
    <row r="111" spans="2:13" ht="9.75" outlineLevel="1">
      <c r="B111" s="57" t="str">
        <f>rail2</f>
        <v>Route 2</v>
      </c>
      <c r="C111" s="37">
        <f t="shared" si="16"/>
        <v>0</v>
      </c>
      <c r="D111" s="33">
        <f t="shared" si="17"/>
        <v>0</v>
      </c>
      <c r="E111" s="126">
        <f t="shared" si="18"/>
        <v>0</v>
      </c>
      <c r="F111" s="123">
        <f t="shared" si="18"/>
        <v>0</v>
      </c>
      <c r="G111" s="123">
        <f t="shared" si="18"/>
        <v>0</v>
      </c>
      <c r="H111" s="123">
        <f t="shared" si="18"/>
        <v>0</v>
      </c>
      <c r="I111" s="123">
        <f t="shared" si="18"/>
        <v>0</v>
      </c>
      <c r="J111" s="123">
        <f t="shared" si="18"/>
        <v>0</v>
      </c>
      <c r="K111" s="123">
        <f t="shared" si="18"/>
        <v>0</v>
      </c>
      <c r="L111" s="123">
        <f t="shared" si="18"/>
        <v>0</v>
      </c>
      <c r="M111" s="105">
        <f t="shared" si="19"/>
        <v>0</v>
      </c>
    </row>
    <row r="112" spans="2:13" ht="9.75" outlineLevel="1">
      <c r="B112" s="57" t="str">
        <f>rail3</f>
        <v>Route 3</v>
      </c>
      <c r="C112" s="37">
        <f t="shared" si="16"/>
        <v>0</v>
      </c>
      <c r="D112" s="33">
        <f t="shared" si="17"/>
        <v>0</v>
      </c>
      <c r="E112" s="126">
        <f t="shared" si="18"/>
        <v>0</v>
      </c>
      <c r="F112" s="123">
        <f t="shared" si="18"/>
        <v>0</v>
      </c>
      <c r="G112" s="123">
        <f t="shared" si="18"/>
        <v>0</v>
      </c>
      <c r="H112" s="123">
        <f t="shared" si="18"/>
        <v>0</v>
      </c>
      <c r="I112" s="123">
        <f t="shared" si="18"/>
        <v>0</v>
      </c>
      <c r="J112" s="123">
        <f t="shared" si="18"/>
        <v>0</v>
      </c>
      <c r="K112" s="123">
        <f t="shared" si="18"/>
        <v>0</v>
      </c>
      <c r="L112" s="123">
        <f t="shared" si="18"/>
        <v>0</v>
      </c>
      <c r="M112" s="105">
        <f t="shared" si="19"/>
        <v>0</v>
      </c>
    </row>
    <row r="113" spans="2:13" ht="9.75" outlineLevel="1">
      <c r="B113" s="57" t="str">
        <f>rail4</f>
        <v>Route 4</v>
      </c>
      <c r="C113" s="37">
        <f t="shared" si="16"/>
        <v>0</v>
      </c>
      <c r="D113" s="33">
        <f t="shared" si="17"/>
        <v>0</v>
      </c>
      <c r="E113" s="126">
        <f t="shared" si="18"/>
        <v>0</v>
      </c>
      <c r="F113" s="123">
        <f t="shared" si="18"/>
        <v>0</v>
      </c>
      <c r="G113" s="123">
        <f t="shared" si="18"/>
        <v>0</v>
      </c>
      <c r="H113" s="123">
        <f t="shared" si="18"/>
        <v>0</v>
      </c>
      <c r="I113" s="123">
        <f t="shared" si="18"/>
        <v>0</v>
      </c>
      <c r="J113" s="123">
        <f t="shared" si="18"/>
        <v>0</v>
      </c>
      <c r="K113" s="123">
        <f t="shared" si="18"/>
        <v>0</v>
      </c>
      <c r="L113" s="123">
        <f t="shared" si="18"/>
        <v>0</v>
      </c>
      <c r="M113" s="105">
        <f t="shared" si="19"/>
        <v>0</v>
      </c>
    </row>
    <row r="114" spans="2:13" ht="9.75" outlineLevel="1">
      <c r="B114" s="57" t="str">
        <f>rail5</f>
        <v>Route 5</v>
      </c>
      <c r="C114" s="37">
        <f t="shared" si="16"/>
        <v>0</v>
      </c>
      <c r="D114" s="33">
        <f t="shared" si="17"/>
        <v>0</v>
      </c>
      <c r="E114" s="126">
        <f t="shared" si="18"/>
        <v>0</v>
      </c>
      <c r="F114" s="123">
        <f t="shared" si="18"/>
        <v>0</v>
      </c>
      <c r="G114" s="123">
        <f t="shared" si="18"/>
        <v>0</v>
      </c>
      <c r="H114" s="123">
        <f t="shared" si="18"/>
        <v>0</v>
      </c>
      <c r="I114" s="123">
        <f t="shared" si="18"/>
        <v>0</v>
      </c>
      <c r="J114" s="123">
        <f t="shared" si="18"/>
        <v>0</v>
      </c>
      <c r="K114" s="123">
        <f t="shared" si="18"/>
        <v>0</v>
      </c>
      <c r="L114" s="123">
        <f t="shared" si="18"/>
        <v>0</v>
      </c>
      <c r="M114" s="105">
        <f t="shared" si="19"/>
        <v>0</v>
      </c>
    </row>
    <row r="115" spans="2:13" ht="9.75" outlineLevel="1">
      <c r="B115" s="57" t="str">
        <f>rail6</f>
        <v>Route 6</v>
      </c>
      <c r="C115" s="37">
        <f t="shared" si="16"/>
        <v>0</v>
      </c>
      <c r="D115" s="33">
        <f t="shared" si="17"/>
        <v>0</v>
      </c>
      <c r="E115" s="126">
        <f t="shared" si="18"/>
        <v>0</v>
      </c>
      <c r="F115" s="123">
        <f t="shared" si="18"/>
        <v>0</v>
      </c>
      <c r="G115" s="123">
        <f t="shared" si="18"/>
        <v>0</v>
      </c>
      <c r="H115" s="123">
        <f t="shared" si="18"/>
        <v>0</v>
      </c>
      <c r="I115" s="123">
        <f t="shared" si="18"/>
        <v>0</v>
      </c>
      <c r="J115" s="123">
        <f t="shared" si="18"/>
        <v>0</v>
      </c>
      <c r="K115" s="123">
        <f t="shared" si="18"/>
        <v>0</v>
      </c>
      <c r="L115" s="123">
        <f t="shared" si="18"/>
        <v>0</v>
      </c>
      <c r="M115" s="105">
        <f t="shared" si="19"/>
        <v>0</v>
      </c>
    </row>
    <row r="116" spans="2:13" ht="9.75" outlineLevel="1">
      <c r="B116" s="57" t="str">
        <f>rail7</f>
        <v>Route 7</v>
      </c>
      <c r="C116" s="37">
        <f t="shared" si="16"/>
        <v>0</v>
      </c>
      <c r="D116" s="33">
        <f t="shared" si="17"/>
        <v>0</v>
      </c>
      <c r="E116" s="126">
        <f t="shared" si="18"/>
        <v>0</v>
      </c>
      <c r="F116" s="123">
        <f t="shared" si="18"/>
        <v>0</v>
      </c>
      <c r="G116" s="123">
        <f t="shared" si="18"/>
        <v>0</v>
      </c>
      <c r="H116" s="123">
        <f t="shared" si="18"/>
        <v>0</v>
      </c>
      <c r="I116" s="123">
        <f t="shared" si="18"/>
        <v>0</v>
      </c>
      <c r="J116" s="123">
        <f t="shared" si="18"/>
        <v>0</v>
      </c>
      <c r="K116" s="123">
        <f t="shared" si="18"/>
        <v>0</v>
      </c>
      <c r="L116" s="123">
        <f t="shared" si="18"/>
        <v>0</v>
      </c>
      <c r="M116" s="105">
        <f t="shared" si="19"/>
        <v>0</v>
      </c>
    </row>
    <row r="117" spans="2:13" ht="9.75" outlineLevel="1">
      <c r="B117" s="57" t="str">
        <f>rail8</f>
        <v>Route 8</v>
      </c>
      <c r="C117" s="37">
        <f t="shared" si="16"/>
        <v>0</v>
      </c>
      <c r="D117" s="33">
        <f t="shared" si="17"/>
        <v>0</v>
      </c>
      <c r="E117" s="126">
        <f t="shared" si="18"/>
        <v>0</v>
      </c>
      <c r="F117" s="123">
        <f t="shared" si="18"/>
        <v>0</v>
      </c>
      <c r="G117" s="123">
        <f t="shared" si="18"/>
        <v>0</v>
      </c>
      <c r="H117" s="123">
        <f t="shared" si="18"/>
        <v>0</v>
      </c>
      <c r="I117" s="123">
        <f t="shared" si="18"/>
        <v>0</v>
      </c>
      <c r="J117" s="123">
        <f t="shared" si="18"/>
        <v>0</v>
      </c>
      <c r="K117" s="123">
        <f t="shared" si="18"/>
        <v>0</v>
      </c>
      <c r="L117" s="123">
        <f t="shared" si="18"/>
        <v>0</v>
      </c>
      <c r="M117" s="105">
        <f t="shared" si="19"/>
        <v>0</v>
      </c>
    </row>
    <row r="118" spans="2:13" ht="9.75" outlineLevel="1">
      <c r="B118" s="57" t="str">
        <f>rail9</f>
        <v>Route 9</v>
      </c>
      <c r="C118" s="37">
        <f t="shared" si="16"/>
        <v>0</v>
      </c>
      <c r="D118" s="33">
        <f t="shared" si="17"/>
        <v>0</v>
      </c>
      <c r="E118" s="126">
        <f t="shared" si="18"/>
        <v>0</v>
      </c>
      <c r="F118" s="123">
        <f t="shared" si="18"/>
        <v>0</v>
      </c>
      <c r="G118" s="123">
        <f t="shared" si="18"/>
        <v>0</v>
      </c>
      <c r="H118" s="123">
        <f t="shared" si="18"/>
        <v>0</v>
      </c>
      <c r="I118" s="123">
        <f t="shared" si="18"/>
        <v>0</v>
      </c>
      <c r="J118" s="123">
        <f t="shared" si="18"/>
        <v>0</v>
      </c>
      <c r="K118" s="123">
        <f t="shared" si="18"/>
        <v>0</v>
      </c>
      <c r="L118" s="123">
        <f t="shared" si="18"/>
        <v>0</v>
      </c>
      <c r="M118" s="105">
        <f t="shared" si="19"/>
        <v>0</v>
      </c>
    </row>
    <row r="119" spans="2:13" ht="9.75" outlineLevel="1">
      <c r="B119" s="57" t="str">
        <f>rail10</f>
        <v>Route 10</v>
      </c>
      <c r="C119" s="37">
        <f t="shared" si="16"/>
        <v>0</v>
      </c>
      <c r="D119" s="33">
        <f t="shared" si="17"/>
        <v>0</v>
      </c>
      <c r="E119" s="126">
        <f t="shared" si="18"/>
        <v>0</v>
      </c>
      <c r="F119" s="123">
        <f t="shared" si="18"/>
        <v>0</v>
      </c>
      <c r="G119" s="123">
        <f t="shared" si="18"/>
        <v>0</v>
      </c>
      <c r="H119" s="123">
        <f t="shared" si="18"/>
        <v>0</v>
      </c>
      <c r="I119" s="123">
        <f t="shared" si="18"/>
        <v>0</v>
      </c>
      <c r="J119" s="123">
        <f t="shared" si="18"/>
        <v>0</v>
      </c>
      <c r="K119" s="123">
        <f t="shared" si="18"/>
        <v>0</v>
      </c>
      <c r="L119" s="123">
        <f t="shared" si="18"/>
        <v>0</v>
      </c>
      <c r="M119" s="105">
        <f t="shared" si="19"/>
        <v>0</v>
      </c>
    </row>
    <row r="120" spans="2:13" ht="9.75" outlineLevel="1">
      <c r="B120" s="57" t="str">
        <f>rail11</f>
        <v>Route 11</v>
      </c>
      <c r="C120" s="37">
        <f t="shared" si="16"/>
        <v>0</v>
      </c>
      <c r="D120" s="33">
        <f t="shared" si="17"/>
        <v>0</v>
      </c>
      <c r="E120" s="126">
        <f aca="true" t="shared" si="20" ref="E120:L129">E96*E$108*$D120*$C120</f>
        <v>0</v>
      </c>
      <c r="F120" s="123">
        <f t="shared" si="20"/>
        <v>0</v>
      </c>
      <c r="G120" s="123">
        <f t="shared" si="20"/>
        <v>0</v>
      </c>
      <c r="H120" s="123">
        <f t="shared" si="20"/>
        <v>0</v>
      </c>
      <c r="I120" s="123">
        <f t="shared" si="20"/>
        <v>0</v>
      </c>
      <c r="J120" s="123">
        <f t="shared" si="20"/>
        <v>0</v>
      </c>
      <c r="K120" s="123">
        <f t="shared" si="20"/>
        <v>0</v>
      </c>
      <c r="L120" s="123">
        <f t="shared" si="20"/>
        <v>0</v>
      </c>
      <c r="M120" s="105">
        <f t="shared" si="19"/>
        <v>0</v>
      </c>
    </row>
    <row r="121" spans="2:13" ht="9.75" outlineLevel="1">
      <c r="B121" s="57" t="str">
        <f>rail12</f>
        <v>Route 12</v>
      </c>
      <c r="C121" s="37">
        <f t="shared" si="16"/>
        <v>0</v>
      </c>
      <c r="D121" s="33">
        <f t="shared" si="17"/>
        <v>0</v>
      </c>
      <c r="E121" s="126">
        <f t="shared" si="20"/>
        <v>0</v>
      </c>
      <c r="F121" s="123">
        <f t="shared" si="20"/>
        <v>0</v>
      </c>
      <c r="G121" s="123">
        <f t="shared" si="20"/>
        <v>0</v>
      </c>
      <c r="H121" s="123">
        <f t="shared" si="20"/>
        <v>0</v>
      </c>
      <c r="I121" s="123">
        <f t="shared" si="20"/>
        <v>0</v>
      </c>
      <c r="J121" s="123">
        <f t="shared" si="20"/>
        <v>0</v>
      </c>
      <c r="K121" s="123">
        <f t="shared" si="20"/>
        <v>0</v>
      </c>
      <c r="L121" s="123">
        <f t="shared" si="20"/>
        <v>0</v>
      </c>
      <c r="M121" s="105">
        <f t="shared" si="19"/>
        <v>0</v>
      </c>
    </row>
    <row r="122" spans="2:13" ht="9.75" outlineLevel="1">
      <c r="B122" s="57" t="str">
        <f>rail13</f>
        <v>Route 13</v>
      </c>
      <c r="C122" s="37">
        <f t="shared" si="16"/>
        <v>0</v>
      </c>
      <c r="D122" s="33">
        <f t="shared" si="17"/>
        <v>0</v>
      </c>
      <c r="E122" s="126">
        <f t="shared" si="20"/>
        <v>0</v>
      </c>
      <c r="F122" s="123">
        <f t="shared" si="20"/>
        <v>0</v>
      </c>
      <c r="G122" s="123">
        <f t="shared" si="20"/>
        <v>0</v>
      </c>
      <c r="H122" s="123">
        <f t="shared" si="20"/>
        <v>0</v>
      </c>
      <c r="I122" s="123">
        <f t="shared" si="20"/>
        <v>0</v>
      </c>
      <c r="J122" s="123">
        <f t="shared" si="20"/>
        <v>0</v>
      </c>
      <c r="K122" s="123">
        <f t="shared" si="20"/>
        <v>0</v>
      </c>
      <c r="L122" s="123">
        <f t="shared" si="20"/>
        <v>0</v>
      </c>
      <c r="M122" s="105">
        <f t="shared" si="19"/>
        <v>0</v>
      </c>
    </row>
    <row r="123" spans="2:13" ht="9.75" outlineLevel="1">
      <c r="B123" s="57" t="str">
        <f>rail14</f>
        <v>Route 14</v>
      </c>
      <c r="C123" s="37">
        <f t="shared" si="16"/>
        <v>0</v>
      </c>
      <c r="D123" s="33">
        <f t="shared" si="17"/>
        <v>0</v>
      </c>
      <c r="E123" s="126">
        <f t="shared" si="20"/>
        <v>0</v>
      </c>
      <c r="F123" s="123">
        <f t="shared" si="20"/>
        <v>0</v>
      </c>
      <c r="G123" s="123">
        <f t="shared" si="20"/>
        <v>0</v>
      </c>
      <c r="H123" s="123">
        <f t="shared" si="20"/>
        <v>0</v>
      </c>
      <c r="I123" s="123">
        <f t="shared" si="20"/>
        <v>0</v>
      </c>
      <c r="J123" s="123">
        <f t="shared" si="20"/>
        <v>0</v>
      </c>
      <c r="K123" s="123">
        <f t="shared" si="20"/>
        <v>0</v>
      </c>
      <c r="L123" s="123">
        <f t="shared" si="20"/>
        <v>0</v>
      </c>
      <c r="M123" s="105">
        <f t="shared" si="19"/>
        <v>0</v>
      </c>
    </row>
    <row r="124" spans="2:13" ht="9.75" outlineLevel="1">
      <c r="B124" s="57" t="str">
        <f>rail15</f>
        <v>Route 15</v>
      </c>
      <c r="C124" s="37">
        <f t="shared" si="16"/>
        <v>0</v>
      </c>
      <c r="D124" s="33">
        <f t="shared" si="17"/>
        <v>0</v>
      </c>
      <c r="E124" s="126">
        <f t="shared" si="20"/>
        <v>0</v>
      </c>
      <c r="F124" s="123">
        <f t="shared" si="20"/>
        <v>0</v>
      </c>
      <c r="G124" s="123">
        <f t="shared" si="20"/>
        <v>0</v>
      </c>
      <c r="H124" s="123">
        <f t="shared" si="20"/>
        <v>0</v>
      </c>
      <c r="I124" s="123">
        <f t="shared" si="20"/>
        <v>0</v>
      </c>
      <c r="J124" s="123">
        <f t="shared" si="20"/>
        <v>0</v>
      </c>
      <c r="K124" s="123">
        <f t="shared" si="20"/>
        <v>0</v>
      </c>
      <c r="L124" s="123">
        <f t="shared" si="20"/>
        <v>0</v>
      </c>
      <c r="M124" s="105">
        <f t="shared" si="19"/>
        <v>0</v>
      </c>
    </row>
    <row r="125" spans="2:13" ht="9.75" outlineLevel="1">
      <c r="B125" s="57" t="str">
        <f>rail16</f>
        <v>Route 16</v>
      </c>
      <c r="C125" s="37">
        <f t="shared" si="16"/>
        <v>0</v>
      </c>
      <c r="D125" s="33">
        <f t="shared" si="17"/>
        <v>0</v>
      </c>
      <c r="E125" s="126">
        <f t="shared" si="20"/>
        <v>0</v>
      </c>
      <c r="F125" s="123">
        <f t="shared" si="20"/>
        <v>0</v>
      </c>
      <c r="G125" s="123">
        <f t="shared" si="20"/>
        <v>0</v>
      </c>
      <c r="H125" s="123">
        <f t="shared" si="20"/>
        <v>0</v>
      </c>
      <c r="I125" s="123">
        <f t="shared" si="20"/>
        <v>0</v>
      </c>
      <c r="J125" s="123">
        <f t="shared" si="20"/>
        <v>0</v>
      </c>
      <c r="K125" s="123">
        <f t="shared" si="20"/>
        <v>0</v>
      </c>
      <c r="L125" s="123">
        <f t="shared" si="20"/>
        <v>0</v>
      </c>
      <c r="M125" s="105">
        <f t="shared" si="19"/>
        <v>0</v>
      </c>
    </row>
    <row r="126" spans="2:13" ht="9.75" outlineLevel="1">
      <c r="B126" s="57" t="str">
        <f>rail17</f>
        <v>Route 17</v>
      </c>
      <c r="C126" s="37">
        <f t="shared" si="16"/>
        <v>0</v>
      </c>
      <c r="D126" s="33">
        <f t="shared" si="17"/>
        <v>0</v>
      </c>
      <c r="E126" s="126">
        <f t="shared" si="20"/>
        <v>0</v>
      </c>
      <c r="F126" s="123">
        <f t="shared" si="20"/>
        <v>0</v>
      </c>
      <c r="G126" s="123">
        <f t="shared" si="20"/>
        <v>0</v>
      </c>
      <c r="H126" s="123">
        <f t="shared" si="20"/>
        <v>0</v>
      </c>
      <c r="I126" s="123">
        <f t="shared" si="20"/>
        <v>0</v>
      </c>
      <c r="J126" s="123">
        <f t="shared" si="20"/>
        <v>0</v>
      </c>
      <c r="K126" s="123">
        <f t="shared" si="20"/>
        <v>0</v>
      </c>
      <c r="L126" s="123">
        <f t="shared" si="20"/>
        <v>0</v>
      </c>
      <c r="M126" s="105">
        <f t="shared" si="19"/>
        <v>0</v>
      </c>
    </row>
    <row r="127" spans="2:13" ht="9.75" outlineLevel="1">
      <c r="B127" s="57" t="str">
        <f>rail18</f>
        <v>Route 18</v>
      </c>
      <c r="C127" s="37">
        <f t="shared" si="16"/>
        <v>0</v>
      </c>
      <c r="D127" s="33">
        <f t="shared" si="17"/>
        <v>0</v>
      </c>
      <c r="E127" s="126">
        <f t="shared" si="20"/>
        <v>0</v>
      </c>
      <c r="F127" s="123">
        <f t="shared" si="20"/>
        <v>0</v>
      </c>
      <c r="G127" s="123">
        <f t="shared" si="20"/>
        <v>0</v>
      </c>
      <c r="H127" s="123">
        <f t="shared" si="20"/>
        <v>0</v>
      </c>
      <c r="I127" s="123">
        <f t="shared" si="20"/>
        <v>0</v>
      </c>
      <c r="J127" s="123">
        <f t="shared" si="20"/>
        <v>0</v>
      </c>
      <c r="K127" s="123">
        <f t="shared" si="20"/>
        <v>0</v>
      </c>
      <c r="L127" s="123">
        <f t="shared" si="20"/>
        <v>0</v>
      </c>
      <c r="M127" s="105">
        <f t="shared" si="19"/>
        <v>0</v>
      </c>
    </row>
    <row r="128" spans="2:13" ht="9.75" outlineLevel="1">
      <c r="B128" s="57" t="str">
        <f>rail19</f>
        <v>Route 19</v>
      </c>
      <c r="C128" s="37">
        <f t="shared" si="16"/>
        <v>0</v>
      </c>
      <c r="D128" s="33">
        <f t="shared" si="17"/>
        <v>0</v>
      </c>
      <c r="E128" s="126">
        <f t="shared" si="20"/>
        <v>0</v>
      </c>
      <c r="F128" s="123">
        <f t="shared" si="20"/>
        <v>0</v>
      </c>
      <c r="G128" s="123">
        <f t="shared" si="20"/>
        <v>0</v>
      </c>
      <c r="H128" s="123">
        <f t="shared" si="20"/>
        <v>0</v>
      </c>
      <c r="I128" s="123">
        <f t="shared" si="20"/>
        <v>0</v>
      </c>
      <c r="J128" s="123">
        <f t="shared" si="20"/>
        <v>0</v>
      </c>
      <c r="K128" s="123">
        <f t="shared" si="20"/>
        <v>0</v>
      </c>
      <c r="L128" s="123">
        <f t="shared" si="20"/>
        <v>0</v>
      </c>
      <c r="M128" s="105">
        <f t="shared" si="19"/>
        <v>0</v>
      </c>
    </row>
    <row r="129" spans="2:13" ht="10.5" outlineLevel="1" thickBot="1">
      <c r="B129" s="57" t="str">
        <f>rail20</f>
        <v>Route 20</v>
      </c>
      <c r="C129" s="37">
        <f t="shared" si="16"/>
        <v>0</v>
      </c>
      <c r="D129" s="33">
        <f t="shared" si="17"/>
        <v>0</v>
      </c>
      <c r="E129" s="128">
        <f t="shared" si="20"/>
        <v>0</v>
      </c>
      <c r="F129" s="129">
        <f t="shared" si="20"/>
        <v>0</v>
      </c>
      <c r="G129" s="129">
        <f t="shared" si="20"/>
        <v>0</v>
      </c>
      <c r="H129" s="129">
        <f t="shared" si="20"/>
        <v>0</v>
      </c>
      <c r="I129" s="129">
        <f t="shared" si="20"/>
        <v>0</v>
      </c>
      <c r="J129" s="129">
        <f t="shared" si="20"/>
        <v>0</v>
      </c>
      <c r="K129" s="129">
        <f t="shared" si="20"/>
        <v>0</v>
      </c>
      <c r="L129" s="129">
        <f t="shared" si="20"/>
        <v>0</v>
      </c>
      <c r="M129" s="106">
        <f t="shared" si="19"/>
        <v>0</v>
      </c>
    </row>
    <row r="130" spans="2:13" ht="10.5" outlineLevel="1" thickBot="1">
      <c r="B130" s="50" t="s">
        <v>645</v>
      </c>
      <c r="C130" s="115">
        <f aca="true" t="shared" si="21" ref="C130:M130">SUM(C110:C129)</f>
        <v>273534</v>
      </c>
      <c r="D130" s="64">
        <f t="shared" si="21"/>
        <v>1</v>
      </c>
      <c r="E130" s="131">
        <f t="shared" si="21"/>
        <v>332890878</v>
      </c>
      <c r="F130" s="132">
        <f t="shared" si="21"/>
        <v>0</v>
      </c>
      <c r="G130" s="132">
        <f t="shared" si="21"/>
        <v>0</v>
      </c>
      <c r="H130" s="132">
        <f t="shared" si="21"/>
        <v>0</v>
      </c>
      <c r="I130" s="132">
        <f t="shared" si="21"/>
        <v>0</v>
      </c>
      <c r="J130" s="132">
        <f t="shared" si="21"/>
        <v>0</v>
      </c>
      <c r="K130" s="132">
        <f t="shared" si="21"/>
        <v>0</v>
      </c>
      <c r="L130" s="62">
        <f t="shared" si="21"/>
        <v>0</v>
      </c>
      <c r="M130" s="106">
        <f t="shared" si="21"/>
        <v>332890878</v>
      </c>
    </row>
    <row r="131" ht="9.75" outlineLevel="1"/>
    <row r="132" spans="2:10" ht="10.5" outlineLevel="1" thickBot="1">
      <c r="B132" s="1" t="str">
        <f>"Inflation Calculation @ "&amp;inflation*100&amp;"%"</f>
        <v>Inflation Calculation @ 3%</v>
      </c>
      <c r="E132" s="113">
        <f>1</f>
        <v>1</v>
      </c>
      <c r="F132" s="113">
        <f>E132*(1+inflation)</f>
        <v>1.03</v>
      </c>
      <c r="G132" s="113">
        <f>F132*(1+inflation)</f>
        <v>1.0609</v>
      </c>
      <c r="H132" s="113">
        <f>G132*(1+inflation)</f>
        <v>1.092727</v>
      </c>
      <c r="I132" s="113">
        <f>H132*(1+inflation)</f>
        <v>1.1255088100000001</v>
      </c>
      <c r="J132" s="113">
        <f>I132*(1+inflation)</f>
        <v>1.1592740743</v>
      </c>
    </row>
    <row r="133" spans="2:10" ht="10.5" outlineLevel="1" thickBot="1">
      <c r="B133" s="114" t="s">
        <v>188</v>
      </c>
      <c r="C133" s="114" t="s">
        <v>189</v>
      </c>
      <c r="D133" s="93" t="s">
        <v>196</v>
      </c>
      <c r="E133" s="116" t="s">
        <v>38</v>
      </c>
      <c r="F133" s="116" t="s">
        <v>39</v>
      </c>
      <c r="G133" s="116" t="s">
        <v>40</v>
      </c>
      <c r="H133" s="116" t="s">
        <v>41</v>
      </c>
      <c r="I133" s="116" t="s">
        <v>42</v>
      </c>
      <c r="J133" s="117" t="s">
        <v>43</v>
      </c>
    </row>
    <row r="134" spans="2:10" ht="9.75" outlineLevel="1">
      <c r="B134" s="56" t="str">
        <f>rail1</f>
        <v>Cloudbreak to Port Dumper</v>
      </c>
      <c r="C134" s="8">
        <f aca="true" t="shared" si="22" ref="C134:C153">VLOOKUP($B134,raildata,3,FALSE)</f>
        <v>273534</v>
      </c>
      <c r="D134" s="6">
        <f aca="true" t="shared" si="23" ref="D134:D153">IF(VLOOKUP($B134,raildata,2,FALSE)="Yes",1,0)</f>
        <v>1</v>
      </c>
      <c r="E134" s="103">
        <f>$D$48*E$132*$M110/$M$130*$D134</f>
        <v>41438396</v>
      </c>
      <c r="F134" s="95">
        <f aca="true" t="shared" si="24" ref="E134:J143">$D$48*F$132*$M110/$M$130*$D134</f>
        <v>42681547.88</v>
      </c>
      <c r="G134" s="95">
        <f t="shared" si="24"/>
        <v>43961994.3164</v>
      </c>
      <c r="H134" s="95">
        <f t="shared" si="24"/>
        <v>45280854.145892</v>
      </c>
      <c r="I134" s="95">
        <f t="shared" si="24"/>
        <v>46639279.77026877</v>
      </c>
      <c r="J134" s="120">
        <f t="shared" si="24"/>
        <v>48038458.16337682</v>
      </c>
    </row>
    <row r="135" spans="2:10" ht="9.75" outlineLevel="1">
      <c r="B135" s="57" t="str">
        <f>rail2</f>
        <v>Route 2</v>
      </c>
      <c r="C135" s="8">
        <f t="shared" si="22"/>
        <v>0</v>
      </c>
      <c r="D135" s="6">
        <f t="shared" si="23"/>
        <v>0</v>
      </c>
      <c r="E135" s="37">
        <f t="shared" si="24"/>
        <v>0</v>
      </c>
      <c r="F135" s="29">
        <f t="shared" si="24"/>
        <v>0</v>
      </c>
      <c r="G135" s="29">
        <f t="shared" si="24"/>
        <v>0</v>
      </c>
      <c r="H135" s="29">
        <f t="shared" si="24"/>
        <v>0</v>
      </c>
      <c r="I135" s="29">
        <f t="shared" si="24"/>
        <v>0</v>
      </c>
      <c r="J135" s="41">
        <f t="shared" si="24"/>
        <v>0</v>
      </c>
    </row>
    <row r="136" spans="2:10" ht="9.75" outlineLevel="1">
      <c r="B136" s="57" t="str">
        <f>rail3</f>
        <v>Route 3</v>
      </c>
      <c r="C136" s="8">
        <f t="shared" si="22"/>
        <v>0</v>
      </c>
      <c r="D136" s="6">
        <f t="shared" si="23"/>
        <v>0</v>
      </c>
      <c r="E136" s="37">
        <f t="shared" si="24"/>
        <v>0</v>
      </c>
      <c r="F136" s="29">
        <f t="shared" si="24"/>
        <v>0</v>
      </c>
      <c r="G136" s="29">
        <f t="shared" si="24"/>
        <v>0</v>
      </c>
      <c r="H136" s="29">
        <f t="shared" si="24"/>
        <v>0</v>
      </c>
      <c r="I136" s="29">
        <f t="shared" si="24"/>
        <v>0</v>
      </c>
      <c r="J136" s="41">
        <f t="shared" si="24"/>
        <v>0</v>
      </c>
    </row>
    <row r="137" spans="2:10" ht="9.75" outlineLevel="1">
      <c r="B137" s="57" t="str">
        <f>rail4</f>
        <v>Route 4</v>
      </c>
      <c r="C137" s="8">
        <f t="shared" si="22"/>
        <v>0</v>
      </c>
      <c r="D137" s="6">
        <f t="shared" si="23"/>
        <v>0</v>
      </c>
      <c r="E137" s="37">
        <f t="shared" si="24"/>
        <v>0</v>
      </c>
      <c r="F137" s="29">
        <f t="shared" si="24"/>
        <v>0</v>
      </c>
      <c r="G137" s="29">
        <f t="shared" si="24"/>
        <v>0</v>
      </c>
      <c r="H137" s="29">
        <f t="shared" si="24"/>
        <v>0</v>
      </c>
      <c r="I137" s="29">
        <f t="shared" si="24"/>
        <v>0</v>
      </c>
      <c r="J137" s="41">
        <f t="shared" si="24"/>
        <v>0</v>
      </c>
    </row>
    <row r="138" spans="2:10" ht="9.75" outlineLevel="1">
      <c r="B138" s="57" t="str">
        <f>rail5</f>
        <v>Route 5</v>
      </c>
      <c r="C138" s="8">
        <f t="shared" si="22"/>
        <v>0</v>
      </c>
      <c r="D138" s="6">
        <f t="shared" si="23"/>
        <v>0</v>
      </c>
      <c r="E138" s="37">
        <f t="shared" si="24"/>
        <v>0</v>
      </c>
      <c r="F138" s="29">
        <f t="shared" si="24"/>
        <v>0</v>
      </c>
      <c r="G138" s="29">
        <f t="shared" si="24"/>
        <v>0</v>
      </c>
      <c r="H138" s="29">
        <f t="shared" si="24"/>
        <v>0</v>
      </c>
      <c r="I138" s="29">
        <f t="shared" si="24"/>
        <v>0</v>
      </c>
      <c r="J138" s="41">
        <f t="shared" si="24"/>
        <v>0</v>
      </c>
    </row>
    <row r="139" spans="2:10" ht="9.75" outlineLevel="1">
      <c r="B139" s="57" t="str">
        <f>rail6</f>
        <v>Route 6</v>
      </c>
      <c r="C139" s="8">
        <f t="shared" si="22"/>
        <v>0</v>
      </c>
      <c r="D139" s="6">
        <f t="shared" si="23"/>
        <v>0</v>
      </c>
      <c r="E139" s="37">
        <f t="shared" si="24"/>
        <v>0</v>
      </c>
      <c r="F139" s="29">
        <f t="shared" si="24"/>
        <v>0</v>
      </c>
      <c r="G139" s="29">
        <f t="shared" si="24"/>
        <v>0</v>
      </c>
      <c r="H139" s="29">
        <f t="shared" si="24"/>
        <v>0</v>
      </c>
      <c r="I139" s="29">
        <f t="shared" si="24"/>
        <v>0</v>
      </c>
      <c r="J139" s="41">
        <f t="shared" si="24"/>
        <v>0</v>
      </c>
    </row>
    <row r="140" spans="2:10" ht="9.75" outlineLevel="1">
      <c r="B140" s="57" t="str">
        <f>rail7</f>
        <v>Route 7</v>
      </c>
      <c r="C140" s="8">
        <f t="shared" si="22"/>
        <v>0</v>
      </c>
      <c r="D140" s="6">
        <f t="shared" si="23"/>
        <v>0</v>
      </c>
      <c r="E140" s="37">
        <f t="shared" si="24"/>
        <v>0</v>
      </c>
      <c r="F140" s="29">
        <f t="shared" si="24"/>
        <v>0</v>
      </c>
      <c r="G140" s="29">
        <f t="shared" si="24"/>
        <v>0</v>
      </c>
      <c r="H140" s="29">
        <f t="shared" si="24"/>
        <v>0</v>
      </c>
      <c r="I140" s="29">
        <f t="shared" si="24"/>
        <v>0</v>
      </c>
      <c r="J140" s="41">
        <f t="shared" si="24"/>
        <v>0</v>
      </c>
    </row>
    <row r="141" spans="2:10" ht="9.75" outlineLevel="1">
      <c r="B141" s="57" t="str">
        <f>rail8</f>
        <v>Route 8</v>
      </c>
      <c r="C141" s="8">
        <f t="shared" si="22"/>
        <v>0</v>
      </c>
      <c r="D141" s="6">
        <f t="shared" si="23"/>
        <v>0</v>
      </c>
      <c r="E141" s="37">
        <f t="shared" si="24"/>
        <v>0</v>
      </c>
      <c r="F141" s="29">
        <f t="shared" si="24"/>
        <v>0</v>
      </c>
      <c r="G141" s="29">
        <f t="shared" si="24"/>
        <v>0</v>
      </c>
      <c r="H141" s="29">
        <f t="shared" si="24"/>
        <v>0</v>
      </c>
      <c r="I141" s="29">
        <f t="shared" si="24"/>
        <v>0</v>
      </c>
      <c r="J141" s="41">
        <f t="shared" si="24"/>
        <v>0</v>
      </c>
    </row>
    <row r="142" spans="2:10" ht="9.75" outlineLevel="1">
      <c r="B142" s="57" t="str">
        <f>rail9</f>
        <v>Route 9</v>
      </c>
      <c r="C142" s="8">
        <f t="shared" si="22"/>
        <v>0</v>
      </c>
      <c r="D142" s="6">
        <f t="shared" si="23"/>
        <v>0</v>
      </c>
      <c r="E142" s="37">
        <f t="shared" si="24"/>
        <v>0</v>
      </c>
      <c r="F142" s="29">
        <f t="shared" si="24"/>
        <v>0</v>
      </c>
      <c r="G142" s="29">
        <f t="shared" si="24"/>
        <v>0</v>
      </c>
      <c r="H142" s="29">
        <f t="shared" si="24"/>
        <v>0</v>
      </c>
      <c r="I142" s="29">
        <f t="shared" si="24"/>
        <v>0</v>
      </c>
      <c r="J142" s="41">
        <f t="shared" si="24"/>
        <v>0</v>
      </c>
    </row>
    <row r="143" spans="2:10" ht="9.75" outlineLevel="1">
      <c r="B143" s="57" t="str">
        <f>rail10</f>
        <v>Route 10</v>
      </c>
      <c r="C143" s="8">
        <f t="shared" si="22"/>
        <v>0</v>
      </c>
      <c r="D143" s="6">
        <f t="shared" si="23"/>
        <v>0</v>
      </c>
      <c r="E143" s="37">
        <f t="shared" si="24"/>
        <v>0</v>
      </c>
      <c r="F143" s="29">
        <f t="shared" si="24"/>
        <v>0</v>
      </c>
      <c r="G143" s="29">
        <f t="shared" si="24"/>
        <v>0</v>
      </c>
      <c r="H143" s="29">
        <f t="shared" si="24"/>
        <v>0</v>
      </c>
      <c r="I143" s="29">
        <f t="shared" si="24"/>
        <v>0</v>
      </c>
      <c r="J143" s="41">
        <f t="shared" si="24"/>
        <v>0</v>
      </c>
    </row>
    <row r="144" spans="2:10" ht="9.75" outlineLevel="1">
      <c r="B144" s="57" t="str">
        <f>rail11</f>
        <v>Route 11</v>
      </c>
      <c r="C144" s="8">
        <f t="shared" si="22"/>
        <v>0</v>
      </c>
      <c r="D144" s="6">
        <f t="shared" si="23"/>
        <v>0</v>
      </c>
      <c r="E144" s="37">
        <f aca="true" t="shared" si="25" ref="E144:J153">$D$48*E$132*$M120/$M$130*$D144</f>
        <v>0</v>
      </c>
      <c r="F144" s="29">
        <f t="shared" si="25"/>
        <v>0</v>
      </c>
      <c r="G144" s="29">
        <f t="shared" si="25"/>
        <v>0</v>
      </c>
      <c r="H144" s="29">
        <f t="shared" si="25"/>
        <v>0</v>
      </c>
      <c r="I144" s="29">
        <f t="shared" si="25"/>
        <v>0</v>
      </c>
      <c r="J144" s="41">
        <f t="shared" si="25"/>
        <v>0</v>
      </c>
    </row>
    <row r="145" spans="2:10" ht="9.75" outlineLevel="1">
      <c r="B145" s="57" t="str">
        <f>rail12</f>
        <v>Route 12</v>
      </c>
      <c r="C145" s="8">
        <f t="shared" si="22"/>
        <v>0</v>
      </c>
      <c r="D145" s="6">
        <f t="shared" si="23"/>
        <v>0</v>
      </c>
      <c r="E145" s="37">
        <f t="shared" si="25"/>
        <v>0</v>
      </c>
      <c r="F145" s="29">
        <f t="shared" si="25"/>
        <v>0</v>
      </c>
      <c r="G145" s="29">
        <f t="shared" si="25"/>
        <v>0</v>
      </c>
      <c r="H145" s="29">
        <f t="shared" si="25"/>
        <v>0</v>
      </c>
      <c r="I145" s="29">
        <f t="shared" si="25"/>
        <v>0</v>
      </c>
      <c r="J145" s="41">
        <f t="shared" si="25"/>
        <v>0</v>
      </c>
    </row>
    <row r="146" spans="2:10" ht="9.75" outlineLevel="1">
      <c r="B146" s="57" t="str">
        <f>rail13</f>
        <v>Route 13</v>
      </c>
      <c r="C146" s="8">
        <f t="shared" si="22"/>
        <v>0</v>
      </c>
      <c r="D146" s="6">
        <f t="shared" si="23"/>
        <v>0</v>
      </c>
      <c r="E146" s="37">
        <f t="shared" si="25"/>
        <v>0</v>
      </c>
      <c r="F146" s="29">
        <f t="shared" si="25"/>
        <v>0</v>
      </c>
      <c r="G146" s="29">
        <f t="shared" si="25"/>
        <v>0</v>
      </c>
      <c r="H146" s="29">
        <f t="shared" si="25"/>
        <v>0</v>
      </c>
      <c r="I146" s="29">
        <f t="shared" si="25"/>
        <v>0</v>
      </c>
      <c r="J146" s="41">
        <f t="shared" si="25"/>
        <v>0</v>
      </c>
    </row>
    <row r="147" spans="2:10" ht="9.75" outlineLevel="1">
      <c r="B147" s="57" t="str">
        <f>rail14</f>
        <v>Route 14</v>
      </c>
      <c r="C147" s="8">
        <f t="shared" si="22"/>
        <v>0</v>
      </c>
      <c r="D147" s="6">
        <f t="shared" si="23"/>
        <v>0</v>
      </c>
      <c r="E147" s="37">
        <f t="shared" si="25"/>
        <v>0</v>
      </c>
      <c r="F147" s="29">
        <f t="shared" si="25"/>
        <v>0</v>
      </c>
      <c r="G147" s="29">
        <f t="shared" si="25"/>
        <v>0</v>
      </c>
      <c r="H147" s="29">
        <f t="shared" si="25"/>
        <v>0</v>
      </c>
      <c r="I147" s="29">
        <f t="shared" si="25"/>
        <v>0</v>
      </c>
      <c r="J147" s="41">
        <f t="shared" si="25"/>
        <v>0</v>
      </c>
    </row>
    <row r="148" spans="2:10" ht="9.75" outlineLevel="1">
      <c r="B148" s="57" t="str">
        <f>rail15</f>
        <v>Route 15</v>
      </c>
      <c r="C148" s="8">
        <f t="shared" si="22"/>
        <v>0</v>
      </c>
      <c r="D148" s="6">
        <f t="shared" si="23"/>
        <v>0</v>
      </c>
      <c r="E148" s="37">
        <f t="shared" si="25"/>
        <v>0</v>
      </c>
      <c r="F148" s="29">
        <f t="shared" si="25"/>
        <v>0</v>
      </c>
      <c r="G148" s="29">
        <f t="shared" si="25"/>
        <v>0</v>
      </c>
      <c r="H148" s="29">
        <f t="shared" si="25"/>
        <v>0</v>
      </c>
      <c r="I148" s="29">
        <f t="shared" si="25"/>
        <v>0</v>
      </c>
      <c r="J148" s="41">
        <f t="shared" si="25"/>
        <v>0</v>
      </c>
    </row>
    <row r="149" spans="2:10" ht="9.75" outlineLevel="1">
      <c r="B149" s="57" t="str">
        <f>rail16</f>
        <v>Route 16</v>
      </c>
      <c r="C149" s="8">
        <f t="shared" si="22"/>
        <v>0</v>
      </c>
      <c r="D149" s="6">
        <f t="shared" si="23"/>
        <v>0</v>
      </c>
      <c r="E149" s="37">
        <f t="shared" si="25"/>
        <v>0</v>
      </c>
      <c r="F149" s="29">
        <f t="shared" si="25"/>
        <v>0</v>
      </c>
      <c r="G149" s="29">
        <f t="shared" si="25"/>
        <v>0</v>
      </c>
      <c r="H149" s="29">
        <f t="shared" si="25"/>
        <v>0</v>
      </c>
      <c r="I149" s="29">
        <f t="shared" si="25"/>
        <v>0</v>
      </c>
      <c r="J149" s="41">
        <f t="shared" si="25"/>
        <v>0</v>
      </c>
    </row>
    <row r="150" spans="2:10" ht="9.75" outlineLevel="1">
      <c r="B150" s="57" t="str">
        <f>rail17</f>
        <v>Route 17</v>
      </c>
      <c r="C150" s="8">
        <f t="shared" si="22"/>
        <v>0</v>
      </c>
      <c r="D150" s="6">
        <f t="shared" si="23"/>
        <v>0</v>
      </c>
      <c r="E150" s="37">
        <f t="shared" si="25"/>
        <v>0</v>
      </c>
      <c r="F150" s="29">
        <f t="shared" si="25"/>
        <v>0</v>
      </c>
      <c r="G150" s="29">
        <f t="shared" si="25"/>
        <v>0</v>
      </c>
      <c r="H150" s="29">
        <f t="shared" si="25"/>
        <v>0</v>
      </c>
      <c r="I150" s="29">
        <f t="shared" si="25"/>
        <v>0</v>
      </c>
      <c r="J150" s="41">
        <f t="shared" si="25"/>
        <v>0</v>
      </c>
    </row>
    <row r="151" spans="2:10" ht="9.75" outlineLevel="1">
      <c r="B151" s="57" t="str">
        <f>rail18</f>
        <v>Route 18</v>
      </c>
      <c r="C151" s="8">
        <f t="shared" si="22"/>
        <v>0</v>
      </c>
      <c r="D151" s="6">
        <f t="shared" si="23"/>
        <v>0</v>
      </c>
      <c r="E151" s="37">
        <f t="shared" si="25"/>
        <v>0</v>
      </c>
      <c r="F151" s="29">
        <f t="shared" si="25"/>
        <v>0</v>
      </c>
      <c r="G151" s="29">
        <f t="shared" si="25"/>
        <v>0</v>
      </c>
      <c r="H151" s="29">
        <f t="shared" si="25"/>
        <v>0</v>
      </c>
      <c r="I151" s="29">
        <f t="shared" si="25"/>
        <v>0</v>
      </c>
      <c r="J151" s="41">
        <f t="shared" si="25"/>
        <v>0</v>
      </c>
    </row>
    <row r="152" spans="2:10" ht="9.75" outlineLevel="1">
      <c r="B152" s="57" t="str">
        <f>rail19</f>
        <v>Route 19</v>
      </c>
      <c r="C152" s="8">
        <f t="shared" si="22"/>
        <v>0</v>
      </c>
      <c r="D152" s="6">
        <f t="shared" si="23"/>
        <v>0</v>
      </c>
      <c r="E152" s="37">
        <f t="shared" si="25"/>
        <v>0</v>
      </c>
      <c r="F152" s="29">
        <f t="shared" si="25"/>
        <v>0</v>
      </c>
      <c r="G152" s="29">
        <f t="shared" si="25"/>
        <v>0</v>
      </c>
      <c r="H152" s="29">
        <f t="shared" si="25"/>
        <v>0</v>
      </c>
      <c r="I152" s="29">
        <f t="shared" si="25"/>
        <v>0</v>
      </c>
      <c r="J152" s="41">
        <f t="shared" si="25"/>
        <v>0</v>
      </c>
    </row>
    <row r="153" spans="2:10" ht="10.5" outlineLevel="1" thickBot="1">
      <c r="B153" s="57" t="str">
        <f>rail20</f>
        <v>Route 20</v>
      </c>
      <c r="C153" s="8">
        <f t="shared" si="22"/>
        <v>0</v>
      </c>
      <c r="D153" s="6">
        <f t="shared" si="23"/>
        <v>0</v>
      </c>
      <c r="E153" s="101">
        <f t="shared" si="25"/>
        <v>0</v>
      </c>
      <c r="F153" s="97">
        <f t="shared" si="25"/>
        <v>0</v>
      </c>
      <c r="G153" s="97">
        <f t="shared" si="25"/>
        <v>0</v>
      </c>
      <c r="H153" s="97">
        <f t="shared" si="25"/>
        <v>0</v>
      </c>
      <c r="I153" s="97">
        <f t="shared" si="25"/>
        <v>0</v>
      </c>
      <c r="J153" s="102">
        <f t="shared" si="25"/>
        <v>0</v>
      </c>
    </row>
    <row r="154" spans="2:10" ht="10.5" outlineLevel="1" thickBot="1">
      <c r="B154" s="50" t="s">
        <v>645</v>
      </c>
      <c r="C154" s="115">
        <f>SUM(C134:C153)</f>
        <v>273534</v>
      </c>
      <c r="D154" s="64">
        <f aca="true" t="shared" si="26" ref="D154:I154">SUM(D134:D153)</f>
        <v>1</v>
      </c>
      <c r="E154" s="118">
        <f>SUM(E134:E153)</f>
        <v>41438396</v>
      </c>
      <c r="F154" s="119">
        <f t="shared" si="26"/>
        <v>42681547.88</v>
      </c>
      <c r="G154" s="119">
        <f t="shared" si="26"/>
        <v>43961994.3164</v>
      </c>
      <c r="H154" s="119">
        <f t="shared" si="26"/>
        <v>45280854.145892</v>
      </c>
      <c r="I154" s="119">
        <f t="shared" si="26"/>
        <v>46639279.77026877</v>
      </c>
      <c r="J154" s="98">
        <f>SUM(J134:J153)</f>
        <v>48038458.16337682</v>
      </c>
    </row>
    <row r="155" spans="2:10" ht="9.75" outlineLevel="1">
      <c r="B155" s="1" t="s">
        <v>190</v>
      </c>
      <c r="C155" s="6" t="str">
        <f>IF(C154=raillength,"Ok","Error")</f>
        <v>Ok</v>
      </c>
      <c r="D155" s="6" t="str">
        <f>IF(D154=railsegments,"Ok","Error")</f>
        <v>Ok</v>
      </c>
      <c r="E155" s="6" t="str">
        <f aca="true" t="shared" si="27" ref="E155:J155">IF(ROUND(E$154,2)=ROUND($D$48*E$132,2),"Ok","Error")</f>
        <v>Ok</v>
      </c>
      <c r="F155" s="6" t="str">
        <f t="shared" si="27"/>
        <v>Ok</v>
      </c>
      <c r="G155" s="6" t="str">
        <f t="shared" si="27"/>
        <v>Ok</v>
      </c>
      <c r="H155" s="6" t="str">
        <f t="shared" si="27"/>
        <v>Ok</v>
      </c>
      <c r="I155" s="6" t="str">
        <f t="shared" si="27"/>
        <v>Ok</v>
      </c>
      <c r="J155" s="6" t="str">
        <f t="shared" si="27"/>
        <v>Ok</v>
      </c>
    </row>
    <row r="156" spans="2:3" ht="9.75" outlineLevel="1">
      <c r="B156" s="2" t="s">
        <v>191</v>
      </c>
      <c r="C156" s="9" t="str">
        <f>IF(COUNTIF(C155:J155,"Error")&gt;0,"Error","All Ok")</f>
        <v>All Ok</v>
      </c>
    </row>
    <row r="157" ht="9.75" outlineLevel="1"/>
    <row r="158" ht="9.75" outlineLevel="1">
      <c r="B158" s="2" t="s">
        <v>199</v>
      </c>
    </row>
    <row r="159" spans="2:22" ht="9.75" outlineLevel="1">
      <c r="B159" s="1" t="s">
        <v>200</v>
      </c>
      <c r="C159" s="6">
        <v>1</v>
      </c>
      <c r="D159" s="6">
        <f aca="true" t="shared" si="28" ref="D159:V159">C159+1</f>
        <v>2</v>
      </c>
      <c r="E159" s="6">
        <f t="shared" si="28"/>
        <v>3</v>
      </c>
      <c r="F159" s="6">
        <f t="shared" si="28"/>
        <v>4</v>
      </c>
      <c r="G159" s="6">
        <f t="shared" si="28"/>
        <v>5</v>
      </c>
      <c r="H159" s="6">
        <f t="shared" si="28"/>
        <v>6</v>
      </c>
      <c r="I159" s="6">
        <f t="shared" si="28"/>
        <v>7</v>
      </c>
      <c r="J159" s="6">
        <f t="shared" si="28"/>
        <v>8</v>
      </c>
      <c r="K159" s="6">
        <f t="shared" si="28"/>
        <v>9</v>
      </c>
      <c r="L159" s="6">
        <f t="shared" si="28"/>
        <v>10</v>
      </c>
      <c r="M159" s="6">
        <f t="shared" si="28"/>
        <v>11</v>
      </c>
      <c r="N159" s="6">
        <f t="shared" si="28"/>
        <v>12</v>
      </c>
      <c r="O159" s="6">
        <f t="shared" si="28"/>
        <v>13</v>
      </c>
      <c r="P159" s="6">
        <f t="shared" si="28"/>
        <v>14</v>
      </c>
      <c r="Q159" s="6">
        <f t="shared" si="28"/>
        <v>15</v>
      </c>
      <c r="R159" s="6">
        <f t="shared" si="28"/>
        <v>16</v>
      </c>
      <c r="S159" s="6">
        <f t="shared" si="28"/>
        <v>17</v>
      </c>
      <c r="T159" s="6">
        <f t="shared" si="28"/>
        <v>18</v>
      </c>
      <c r="U159" s="6">
        <f t="shared" si="28"/>
        <v>19</v>
      </c>
      <c r="V159" s="6">
        <f t="shared" si="28"/>
        <v>20</v>
      </c>
    </row>
    <row r="160" spans="2:22" ht="9.75" outlineLevel="1">
      <c r="B160" s="1" t="s">
        <v>201</v>
      </c>
      <c r="C160" s="136">
        <f aca="true" t="shared" si="29" ref="C160:V160">HLOOKUP(C$159,railscale,3,FALSE)</f>
        <v>0.7159</v>
      </c>
      <c r="D160" s="136">
        <f t="shared" si="29"/>
        <v>0.7159</v>
      </c>
      <c r="E160" s="136">
        <f t="shared" si="29"/>
        <v>0.7159</v>
      </c>
      <c r="F160" s="136">
        <f t="shared" si="29"/>
        <v>0.7159</v>
      </c>
      <c r="G160" s="136">
        <f t="shared" si="29"/>
        <v>0.7159</v>
      </c>
      <c r="H160" s="136">
        <f t="shared" si="29"/>
        <v>0.7159</v>
      </c>
      <c r="I160" s="136">
        <f t="shared" si="29"/>
        <v>0.7159</v>
      </c>
      <c r="J160" s="136">
        <f t="shared" si="29"/>
        <v>0.7159</v>
      </c>
      <c r="K160" s="136">
        <f t="shared" si="29"/>
        <v>0.7159</v>
      </c>
      <c r="L160" s="136">
        <f t="shared" si="29"/>
        <v>0.7159</v>
      </c>
      <c r="M160" s="136">
        <f t="shared" si="29"/>
        <v>0.7159</v>
      </c>
      <c r="N160" s="136">
        <f t="shared" si="29"/>
        <v>0.7159</v>
      </c>
      <c r="O160" s="136">
        <f t="shared" si="29"/>
        <v>0.7159</v>
      </c>
      <c r="P160" s="136">
        <f t="shared" si="29"/>
        <v>0.7159</v>
      </c>
      <c r="Q160" s="136">
        <f t="shared" si="29"/>
        <v>0.7159</v>
      </c>
      <c r="R160" s="136">
        <f t="shared" si="29"/>
        <v>0.7159</v>
      </c>
      <c r="S160" s="136">
        <f t="shared" si="29"/>
        <v>0.7159</v>
      </c>
      <c r="T160" s="136">
        <f t="shared" si="29"/>
        <v>0.7159</v>
      </c>
      <c r="U160" s="136">
        <f t="shared" si="29"/>
        <v>0.7159</v>
      </c>
      <c r="V160" s="136">
        <f t="shared" si="29"/>
        <v>0.7159</v>
      </c>
    </row>
    <row r="161" ht="9.75" outlineLevel="1"/>
    <row r="162" spans="2:8" ht="9.75" outlineLevel="1">
      <c r="B162" s="1" t="s">
        <v>202</v>
      </c>
      <c r="C162" s="1">
        <f aca="true" t="shared" si="30" ref="C162:H162">$D$154</f>
        <v>1</v>
      </c>
      <c r="D162" s="1">
        <f t="shared" si="30"/>
        <v>1</v>
      </c>
      <c r="E162" s="1">
        <f t="shared" si="30"/>
        <v>1</v>
      </c>
      <c r="F162" s="1">
        <f t="shared" si="30"/>
        <v>1</v>
      </c>
      <c r="G162" s="1">
        <f t="shared" si="30"/>
        <v>1</v>
      </c>
      <c r="H162" s="1">
        <f t="shared" si="30"/>
        <v>1</v>
      </c>
    </row>
    <row r="163" spans="2:8" ht="9.75" outlineLevel="1">
      <c r="B163" s="1" t="s">
        <v>203</v>
      </c>
      <c r="C163" s="135">
        <f aca="true" t="shared" si="31" ref="C163:H163">HLOOKUP(C162,$C$159:$V$160,2,FALSE)</f>
        <v>0.7159</v>
      </c>
      <c r="D163" s="135">
        <f t="shared" si="31"/>
        <v>0.7159</v>
      </c>
      <c r="E163" s="135">
        <f t="shared" si="31"/>
        <v>0.7159</v>
      </c>
      <c r="F163" s="135">
        <f t="shared" si="31"/>
        <v>0.7159</v>
      </c>
      <c r="G163" s="135">
        <f t="shared" si="31"/>
        <v>0.7159</v>
      </c>
      <c r="H163" s="135">
        <f t="shared" si="31"/>
        <v>0.7159</v>
      </c>
    </row>
    <row r="164" ht="10.5" outlineLevel="1" thickBot="1"/>
    <row r="165" spans="2:10" ht="10.5" outlineLevel="1" thickBot="1">
      <c r="B165" s="114" t="s">
        <v>188</v>
      </c>
      <c r="C165" s="114" t="s">
        <v>189</v>
      </c>
      <c r="D165" s="93" t="s">
        <v>196</v>
      </c>
      <c r="E165" s="116" t="s">
        <v>38</v>
      </c>
      <c r="F165" s="116" t="s">
        <v>39</v>
      </c>
      <c r="G165" s="116" t="s">
        <v>40</v>
      </c>
      <c r="H165" s="116" t="s">
        <v>41</v>
      </c>
      <c r="I165" s="116" t="s">
        <v>42</v>
      </c>
      <c r="J165" s="117" t="s">
        <v>43</v>
      </c>
    </row>
    <row r="166" spans="2:10" ht="9.75" outlineLevel="1">
      <c r="B166" s="56" t="str">
        <f>rail1</f>
        <v>Cloudbreak to Port Dumper</v>
      </c>
      <c r="C166" s="8">
        <f aca="true" t="shared" si="32" ref="C166:C185">VLOOKUP($B166,raildata,3,FALSE)</f>
        <v>273534</v>
      </c>
      <c r="D166" s="6">
        <f aca="true" t="shared" si="33" ref="D166:D185">IF(VLOOKUP($B166,raildata,2,FALSE)="Yes",1,0)</f>
        <v>1</v>
      </c>
      <c r="E166" s="103">
        <f>E134*$D166*C$163</f>
        <v>29665747.696399998</v>
      </c>
      <c r="F166" s="95">
        <f aca="true" t="shared" si="34" ref="F166:J181">F134*$D166*D$163</f>
        <v>30555720.127292</v>
      </c>
      <c r="G166" s="95">
        <f t="shared" si="34"/>
        <v>31472391.73111076</v>
      </c>
      <c r="H166" s="95">
        <f t="shared" si="34"/>
        <v>32416563.483044084</v>
      </c>
      <c r="I166" s="95">
        <f t="shared" si="34"/>
        <v>33389060.387535412</v>
      </c>
      <c r="J166" s="120">
        <f t="shared" si="34"/>
        <v>34390732.19916147</v>
      </c>
    </row>
    <row r="167" spans="2:10" ht="9.75" outlineLevel="1">
      <c r="B167" s="57" t="str">
        <f>rail2</f>
        <v>Route 2</v>
      </c>
      <c r="C167" s="8">
        <f t="shared" si="32"/>
        <v>0</v>
      </c>
      <c r="D167" s="6">
        <f t="shared" si="33"/>
        <v>0</v>
      </c>
      <c r="E167" s="37">
        <f aca="true" t="shared" si="35" ref="E167:E185">E135*$D167*C$163</f>
        <v>0</v>
      </c>
      <c r="F167" s="29">
        <f t="shared" si="34"/>
        <v>0</v>
      </c>
      <c r="G167" s="29">
        <f t="shared" si="34"/>
        <v>0</v>
      </c>
      <c r="H167" s="29">
        <f t="shared" si="34"/>
        <v>0</v>
      </c>
      <c r="I167" s="29">
        <f t="shared" si="34"/>
        <v>0</v>
      </c>
      <c r="J167" s="41">
        <f t="shared" si="34"/>
        <v>0</v>
      </c>
    </row>
    <row r="168" spans="2:10" ht="9.75" outlineLevel="1">
      <c r="B168" s="57" t="str">
        <f>rail3</f>
        <v>Route 3</v>
      </c>
      <c r="C168" s="8">
        <f t="shared" si="32"/>
        <v>0</v>
      </c>
      <c r="D168" s="6">
        <f t="shared" si="33"/>
        <v>0</v>
      </c>
      <c r="E168" s="37">
        <f t="shared" si="35"/>
        <v>0</v>
      </c>
      <c r="F168" s="29">
        <f t="shared" si="34"/>
        <v>0</v>
      </c>
      <c r="G168" s="29">
        <f t="shared" si="34"/>
        <v>0</v>
      </c>
      <c r="H168" s="29">
        <f t="shared" si="34"/>
        <v>0</v>
      </c>
      <c r="I168" s="29">
        <f t="shared" si="34"/>
        <v>0</v>
      </c>
      <c r="J168" s="41">
        <f t="shared" si="34"/>
        <v>0</v>
      </c>
    </row>
    <row r="169" spans="2:10" ht="9.75" outlineLevel="1">
      <c r="B169" s="57" t="str">
        <f>rail4</f>
        <v>Route 4</v>
      </c>
      <c r="C169" s="8">
        <f t="shared" si="32"/>
        <v>0</v>
      </c>
      <c r="D169" s="6">
        <f t="shared" si="33"/>
        <v>0</v>
      </c>
      <c r="E169" s="37">
        <f t="shared" si="35"/>
        <v>0</v>
      </c>
      <c r="F169" s="29">
        <f t="shared" si="34"/>
        <v>0</v>
      </c>
      <c r="G169" s="29">
        <f t="shared" si="34"/>
        <v>0</v>
      </c>
      <c r="H169" s="29">
        <f t="shared" si="34"/>
        <v>0</v>
      </c>
      <c r="I169" s="29">
        <f t="shared" si="34"/>
        <v>0</v>
      </c>
      <c r="J169" s="41">
        <f t="shared" si="34"/>
        <v>0</v>
      </c>
    </row>
    <row r="170" spans="2:10" ht="9.75" outlineLevel="1">
      <c r="B170" s="57" t="str">
        <f>rail5</f>
        <v>Route 5</v>
      </c>
      <c r="C170" s="8">
        <f t="shared" si="32"/>
        <v>0</v>
      </c>
      <c r="D170" s="6">
        <f t="shared" si="33"/>
        <v>0</v>
      </c>
      <c r="E170" s="37">
        <f t="shared" si="35"/>
        <v>0</v>
      </c>
      <c r="F170" s="29">
        <f t="shared" si="34"/>
        <v>0</v>
      </c>
      <c r="G170" s="29">
        <f t="shared" si="34"/>
        <v>0</v>
      </c>
      <c r="H170" s="29">
        <f t="shared" si="34"/>
        <v>0</v>
      </c>
      <c r="I170" s="29">
        <f t="shared" si="34"/>
        <v>0</v>
      </c>
      <c r="J170" s="41">
        <f t="shared" si="34"/>
        <v>0</v>
      </c>
    </row>
    <row r="171" spans="2:10" ht="9.75" outlineLevel="1">
      <c r="B171" s="57" t="str">
        <f>rail6</f>
        <v>Route 6</v>
      </c>
      <c r="C171" s="8">
        <f t="shared" si="32"/>
        <v>0</v>
      </c>
      <c r="D171" s="6">
        <f t="shared" si="33"/>
        <v>0</v>
      </c>
      <c r="E171" s="37">
        <f t="shared" si="35"/>
        <v>0</v>
      </c>
      <c r="F171" s="29">
        <f t="shared" si="34"/>
        <v>0</v>
      </c>
      <c r="G171" s="29">
        <f t="shared" si="34"/>
        <v>0</v>
      </c>
      <c r="H171" s="29">
        <f t="shared" si="34"/>
        <v>0</v>
      </c>
      <c r="I171" s="29">
        <f t="shared" si="34"/>
        <v>0</v>
      </c>
      <c r="J171" s="41">
        <f t="shared" si="34"/>
        <v>0</v>
      </c>
    </row>
    <row r="172" spans="2:10" ht="9.75" outlineLevel="1">
      <c r="B172" s="57" t="str">
        <f>rail7</f>
        <v>Route 7</v>
      </c>
      <c r="C172" s="8">
        <f t="shared" si="32"/>
        <v>0</v>
      </c>
      <c r="D172" s="6">
        <f t="shared" si="33"/>
        <v>0</v>
      </c>
      <c r="E172" s="37">
        <f t="shared" si="35"/>
        <v>0</v>
      </c>
      <c r="F172" s="29">
        <f t="shared" si="34"/>
        <v>0</v>
      </c>
      <c r="G172" s="29">
        <f t="shared" si="34"/>
        <v>0</v>
      </c>
      <c r="H172" s="29">
        <f t="shared" si="34"/>
        <v>0</v>
      </c>
      <c r="I172" s="29">
        <f t="shared" si="34"/>
        <v>0</v>
      </c>
      <c r="J172" s="41">
        <f t="shared" si="34"/>
        <v>0</v>
      </c>
    </row>
    <row r="173" spans="2:10" ht="9.75" outlineLevel="1">
      <c r="B173" s="57" t="str">
        <f>rail8</f>
        <v>Route 8</v>
      </c>
      <c r="C173" s="8">
        <f t="shared" si="32"/>
        <v>0</v>
      </c>
      <c r="D173" s="6">
        <f t="shared" si="33"/>
        <v>0</v>
      </c>
      <c r="E173" s="37">
        <f t="shared" si="35"/>
        <v>0</v>
      </c>
      <c r="F173" s="29">
        <f t="shared" si="34"/>
        <v>0</v>
      </c>
      <c r="G173" s="29">
        <f t="shared" si="34"/>
        <v>0</v>
      </c>
      <c r="H173" s="29">
        <f t="shared" si="34"/>
        <v>0</v>
      </c>
      <c r="I173" s="29">
        <f t="shared" si="34"/>
        <v>0</v>
      </c>
      <c r="J173" s="41">
        <f t="shared" si="34"/>
        <v>0</v>
      </c>
    </row>
    <row r="174" spans="2:10" ht="9.75" outlineLevel="1">
      <c r="B174" s="57" t="str">
        <f>rail9</f>
        <v>Route 9</v>
      </c>
      <c r="C174" s="8">
        <f t="shared" si="32"/>
        <v>0</v>
      </c>
      <c r="D174" s="6">
        <f t="shared" si="33"/>
        <v>0</v>
      </c>
      <c r="E174" s="37">
        <f t="shared" si="35"/>
        <v>0</v>
      </c>
      <c r="F174" s="29">
        <f t="shared" si="34"/>
        <v>0</v>
      </c>
      <c r="G174" s="29">
        <f t="shared" si="34"/>
        <v>0</v>
      </c>
      <c r="H174" s="29">
        <f t="shared" si="34"/>
        <v>0</v>
      </c>
      <c r="I174" s="29">
        <f t="shared" si="34"/>
        <v>0</v>
      </c>
      <c r="J174" s="41">
        <f t="shared" si="34"/>
        <v>0</v>
      </c>
    </row>
    <row r="175" spans="2:10" ht="9.75" outlineLevel="1">
      <c r="B175" s="57" t="str">
        <f>rail10</f>
        <v>Route 10</v>
      </c>
      <c r="C175" s="8">
        <f t="shared" si="32"/>
        <v>0</v>
      </c>
      <c r="D175" s="6">
        <f t="shared" si="33"/>
        <v>0</v>
      </c>
      <c r="E175" s="37">
        <f t="shared" si="35"/>
        <v>0</v>
      </c>
      <c r="F175" s="29">
        <f t="shared" si="34"/>
        <v>0</v>
      </c>
      <c r="G175" s="29">
        <f t="shared" si="34"/>
        <v>0</v>
      </c>
      <c r="H175" s="29">
        <f t="shared" si="34"/>
        <v>0</v>
      </c>
      <c r="I175" s="29">
        <f t="shared" si="34"/>
        <v>0</v>
      </c>
      <c r="J175" s="41">
        <f t="shared" si="34"/>
        <v>0</v>
      </c>
    </row>
    <row r="176" spans="2:10" ht="9.75" outlineLevel="1">
      <c r="B176" s="57" t="str">
        <f>rail11</f>
        <v>Route 11</v>
      </c>
      <c r="C176" s="8">
        <f t="shared" si="32"/>
        <v>0</v>
      </c>
      <c r="D176" s="6">
        <f t="shared" si="33"/>
        <v>0</v>
      </c>
      <c r="E176" s="37">
        <f t="shared" si="35"/>
        <v>0</v>
      </c>
      <c r="F176" s="29">
        <f t="shared" si="34"/>
        <v>0</v>
      </c>
      <c r="G176" s="29">
        <f t="shared" si="34"/>
        <v>0</v>
      </c>
      <c r="H176" s="29">
        <f t="shared" si="34"/>
        <v>0</v>
      </c>
      <c r="I176" s="29">
        <f t="shared" si="34"/>
        <v>0</v>
      </c>
      <c r="J176" s="41">
        <f t="shared" si="34"/>
        <v>0</v>
      </c>
    </row>
    <row r="177" spans="2:10" ht="9.75" outlineLevel="1">
      <c r="B177" s="57" t="str">
        <f>rail12</f>
        <v>Route 12</v>
      </c>
      <c r="C177" s="8">
        <f t="shared" si="32"/>
        <v>0</v>
      </c>
      <c r="D177" s="6">
        <f t="shared" si="33"/>
        <v>0</v>
      </c>
      <c r="E177" s="37">
        <f t="shared" si="35"/>
        <v>0</v>
      </c>
      <c r="F177" s="29">
        <f t="shared" si="34"/>
        <v>0</v>
      </c>
      <c r="G177" s="29">
        <f t="shared" si="34"/>
        <v>0</v>
      </c>
      <c r="H177" s="29">
        <f t="shared" si="34"/>
        <v>0</v>
      </c>
      <c r="I177" s="29">
        <f t="shared" si="34"/>
        <v>0</v>
      </c>
      <c r="J177" s="41">
        <f t="shared" si="34"/>
        <v>0</v>
      </c>
    </row>
    <row r="178" spans="2:10" ht="9.75" outlineLevel="1">
      <c r="B178" s="57" t="str">
        <f>rail13</f>
        <v>Route 13</v>
      </c>
      <c r="C178" s="8">
        <f t="shared" si="32"/>
        <v>0</v>
      </c>
      <c r="D178" s="6">
        <f t="shared" si="33"/>
        <v>0</v>
      </c>
      <c r="E178" s="37">
        <f t="shared" si="35"/>
        <v>0</v>
      </c>
      <c r="F178" s="29">
        <f t="shared" si="34"/>
        <v>0</v>
      </c>
      <c r="G178" s="29">
        <f t="shared" si="34"/>
        <v>0</v>
      </c>
      <c r="H178" s="29">
        <f t="shared" si="34"/>
        <v>0</v>
      </c>
      <c r="I178" s="29">
        <f t="shared" si="34"/>
        <v>0</v>
      </c>
      <c r="J178" s="41">
        <f t="shared" si="34"/>
        <v>0</v>
      </c>
    </row>
    <row r="179" spans="2:10" ht="9.75" outlineLevel="1">
      <c r="B179" s="57" t="str">
        <f>rail14</f>
        <v>Route 14</v>
      </c>
      <c r="C179" s="8">
        <f t="shared" si="32"/>
        <v>0</v>
      </c>
      <c r="D179" s="6">
        <f t="shared" si="33"/>
        <v>0</v>
      </c>
      <c r="E179" s="37">
        <f t="shared" si="35"/>
        <v>0</v>
      </c>
      <c r="F179" s="29">
        <f t="shared" si="34"/>
        <v>0</v>
      </c>
      <c r="G179" s="29">
        <f t="shared" si="34"/>
        <v>0</v>
      </c>
      <c r="H179" s="29">
        <f t="shared" si="34"/>
        <v>0</v>
      </c>
      <c r="I179" s="29">
        <f t="shared" si="34"/>
        <v>0</v>
      </c>
      <c r="J179" s="41">
        <f t="shared" si="34"/>
        <v>0</v>
      </c>
    </row>
    <row r="180" spans="2:10" ht="9.75" outlineLevel="1">
      <c r="B180" s="57" t="str">
        <f>rail15</f>
        <v>Route 15</v>
      </c>
      <c r="C180" s="8">
        <f t="shared" si="32"/>
        <v>0</v>
      </c>
      <c r="D180" s="6">
        <f t="shared" si="33"/>
        <v>0</v>
      </c>
      <c r="E180" s="37">
        <f t="shared" si="35"/>
        <v>0</v>
      </c>
      <c r="F180" s="29">
        <f t="shared" si="34"/>
        <v>0</v>
      </c>
      <c r="G180" s="29">
        <f t="shared" si="34"/>
        <v>0</v>
      </c>
      <c r="H180" s="29">
        <f t="shared" si="34"/>
        <v>0</v>
      </c>
      <c r="I180" s="29">
        <f t="shared" si="34"/>
        <v>0</v>
      </c>
      <c r="J180" s="41">
        <f t="shared" si="34"/>
        <v>0</v>
      </c>
    </row>
    <row r="181" spans="2:10" ht="9.75" outlineLevel="1">
      <c r="B181" s="57" t="str">
        <f>rail16</f>
        <v>Route 16</v>
      </c>
      <c r="C181" s="8">
        <f t="shared" si="32"/>
        <v>0</v>
      </c>
      <c r="D181" s="6">
        <f t="shared" si="33"/>
        <v>0</v>
      </c>
      <c r="E181" s="37">
        <f t="shared" si="35"/>
        <v>0</v>
      </c>
      <c r="F181" s="29">
        <f t="shared" si="34"/>
        <v>0</v>
      </c>
      <c r="G181" s="29">
        <f t="shared" si="34"/>
        <v>0</v>
      </c>
      <c r="H181" s="29">
        <f t="shared" si="34"/>
        <v>0</v>
      </c>
      <c r="I181" s="29">
        <f t="shared" si="34"/>
        <v>0</v>
      </c>
      <c r="J181" s="41">
        <f t="shared" si="34"/>
        <v>0</v>
      </c>
    </row>
    <row r="182" spans="2:10" ht="9.75" outlineLevel="1">
      <c r="B182" s="57" t="str">
        <f>rail17</f>
        <v>Route 17</v>
      </c>
      <c r="C182" s="8">
        <f t="shared" si="32"/>
        <v>0</v>
      </c>
      <c r="D182" s="6">
        <f t="shared" si="33"/>
        <v>0</v>
      </c>
      <c r="E182" s="37">
        <f t="shared" si="35"/>
        <v>0</v>
      </c>
      <c r="F182" s="29">
        <f aca="true" t="shared" si="36" ref="F182:J185">F150*$D182*D$163</f>
        <v>0</v>
      </c>
      <c r="G182" s="29">
        <f t="shared" si="36"/>
        <v>0</v>
      </c>
      <c r="H182" s="29">
        <f t="shared" si="36"/>
        <v>0</v>
      </c>
      <c r="I182" s="29">
        <f t="shared" si="36"/>
        <v>0</v>
      </c>
      <c r="J182" s="41">
        <f t="shared" si="36"/>
        <v>0</v>
      </c>
    </row>
    <row r="183" spans="2:10" ht="9.75" outlineLevel="1">
      <c r="B183" s="57" t="str">
        <f>rail18</f>
        <v>Route 18</v>
      </c>
      <c r="C183" s="8">
        <f t="shared" si="32"/>
        <v>0</v>
      </c>
      <c r="D183" s="6">
        <f t="shared" si="33"/>
        <v>0</v>
      </c>
      <c r="E183" s="37">
        <f t="shared" si="35"/>
        <v>0</v>
      </c>
      <c r="F183" s="29">
        <f t="shared" si="36"/>
        <v>0</v>
      </c>
      <c r="G183" s="29">
        <f t="shared" si="36"/>
        <v>0</v>
      </c>
      <c r="H183" s="29">
        <f t="shared" si="36"/>
        <v>0</v>
      </c>
      <c r="I183" s="29">
        <f t="shared" si="36"/>
        <v>0</v>
      </c>
      <c r="J183" s="41">
        <f t="shared" si="36"/>
        <v>0</v>
      </c>
    </row>
    <row r="184" spans="2:10" ht="9.75" outlineLevel="1">
      <c r="B184" s="57" t="str">
        <f>rail19</f>
        <v>Route 19</v>
      </c>
      <c r="C184" s="8">
        <f t="shared" si="32"/>
        <v>0</v>
      </c>
      <c r="D184" s="6">
        <f t="shared" si="33"/>
        <v>0</v>
      </c>
      <c r="E184" s="37">
        <f t="shared" si="35"/>
        <v>0</v>
      </c>
      <c r="F184" s="29">
        <f t="shared" si="36"/>
        <v>0</v>
      </c>
      <c r="G184" s="29">
        <f t="shared" si="36"/>
        <v>0</v>
      </c>
      <c r="H184" s="29">
        <f t="shared" si="36"/>
        <v>0</v>
      </c>
      <c r="I184" s="29">
        <f t="shared" si="36"/>
        <v>0</v>
      </c>
      <c r="J184" s="41">
        <f t="shared" si="36"/>
        <v>0</v>
      </c>
    </row>
    <row r="185" spans="2:10" ht="10.5" outlineLevel="1" thickBot="1">
      <c r="B185" s="57" t="str">
        <f>rail20</f>
        <v>Route 20</v>
      </c>
      <c r="C185" s="8">
        <f t="shared" si="32"/>
        <v>0</v>
      </c>
      <c r="D185" s="6">
        <f t="shared" si="33"/>
        <v>0</v>
      </c>
      <c r="E185" s="101">
        <f t="shared" si="35"/>
        <v>0</v>
      </c>
      <c r="F185" s="97">
        <f t="shared" si="36"/>
        <v>0</v>
      </c>
      <c r="G185" s="97">
        <f t="shared" si="36"/>
        <v>0</v>
      </c>
      <c r="H185" s="97">
        <f t="shared" si="36"/>
        <v>0</v>
      </c>
      <c r="I185" s="97">
        <f t="shared" si="36"/>
        <v>0</v>
      </c>
      <c r="J185" s="102">
        <f t="shared" si="36"/>
        <v>0</v>
      </c>
    </row>
    <row r="186" spans="2:10" ht="10.5" outlineLevel="1" thickBot="1">
      <c r="B186" s="50" t="s">
        <v>645</v>
      </c>
      <c r="C186" s="115">
        <f aca="true" t="shared" si="37" ref="C186:J186">SUM(C166:C185)</f>
        <v>273534</v>
      </c>
      <c r="D186" s="64">
        <f t="shared" si="37"/>
        <v>1</v>
      </c>
      <c r="E186" s="118">
        <f t="shared" si="37"/>
        <v>29665747.696399998</v>
      </c>
      <c r="F186" s="119">
        <f t="shared" si="37"/>
        <v>30555720.127292</v>
      </c>
      <c r="G186" s="119">
        <f t="shared" si="37"/>
        <v>31472391.73111076</v>
      </c>
      <c r="H186" s="119">
        <f t="shared" si="37"/>
        <v>32416563.483044084</v>
      </c>
      <c r="I186" s="119">
        <f t="shared" si="37"/>
        <v>33389060.387535412</v>
      </c>
      <c r="J186" s="98">
        <f t="shared" si="37"/>
        <v>34390732.19916147</v>
      </c>
    </row>
    <row r="187" spans="2:10" ht="9.75" outlineLevel="1">
      <c r="B187" s="1" t="s">
        <v>190</v>
      </c>
      <c r="C187" s="6" t="str">
        <f>IF(C186=raillength,"Ok","Error")</f>
        <v>Ok</v>
      </c>
      <c r="D187" s="6" t="str">
        <f>IF(D186=railsegments,"Ok","Error")</f>
        <v>Ok</v>
      </c>
      <c r="E187" s="6" t="str">
        <f aca="true" t="shared" si="38" ref="E187:J187">IF(ROUND(E$186,2)=ROUND(E$154*C$163,2),"Ok","Error")</f>
        <v>Ok</v>
      </c>
      <c r="F187" s="6" t="str">
        <f t="shared" si="38"/>
        <v>Ok</v>
      </c>
      <c r="G187" s="6" t="str">
        <f t="shared" si="38"/>
        <v>Ok</v>
      </c>
      <c r="H187" s="6" t="str">
        <f t="shared" si="38"/>
        <v>Ok</v>
      </c>
      <c r="I187" s="6" t="str">
        <f t="shared" si="38"/>
        <v>Ok</v>
      </c>
      <c r="J187" s="6" t="str">
        <f t="shared" si="38"/>
        <v>Ok</v>
      </c>
    </row>
    <row r="188" spans="2:3" ht="9.75" outlineLevel="1">
      <c r="B188" s="2" t="s">
        <v>191</v>
      </c>
      <c r="C188" s="9" t="str">
        <f>IF(COUNTIF(C187:J187,"Error")&gt;0,"Error","All Ok")</f>
        <v>All Ok</v>
      </c>
    </row>
    <row r="189" spans="2:3" ht="9.75" outlineLevel="1">
      <c r="B189" s="2"/>
      <c r="C189" s="9"/>
    </row>
    <row r="190" ht="9.75" outlineLevel="1">
      <c r="B190" s="2" t="s">
        <v>233</v>
      </c>
    </row>
    <row r="191" spans="2:22" ht="9.75" outlineLevel="1">
      <c r="B191" s="1" t="s">
        <v>200</v>
      </c>
      <c r="C191" s="6">
        <v>1</v>
      </c>
      <c r="D191" s="253" t="s">
        <v>287</v>
      </c>
      <c r="E191" s="254"/>
      <c r="F191" s="254"/>
      <c r="G191" s="254"/>
      <c r="H191" s="254"/>
      <c r="I191" s="254"/>
      <c r="J191" s="254"/>
      <c r="K191" s="6"/>
      <c r="L191" s="6"/>
      <c r="M191" s="6"/>
      <c r="N191" s="6"/>
      <c r="O191" s="6"/>
      <c r="P191" s="6"/>
      <c r="Q191" s="6"/>
      <c r="R191" s="6"/>
      <c r="S191" s="6"/>
      <c r="T191" s="6"/>
      <c r="U191" s="6"/>
      <c r="V191" s="6"/>
    </row>
    <row r="192" spans="2:22" ht="9.75" outlineLevel="1">
      <c r="B192" s="1" t="s">
        <v>235</v>
      </c>
      <c r="C192" s="136">
        <f>HLOOKUP(C$191,railscale,4,FALSE)</f>
        <v>1</v>
      </c>
      <c r="D192" s="254"/>
      <c r="E192" s="254"/>
      <c r="F192" s="254"/>
      <c r="G192" s="254"/>
      <c r="H192" s="254"/>
      <c r="I192" s="254"/>
      <c r="J192" s="254"/>
      <c r="K192" s="136"/>
      <c r="L192" s="136"/>
      <c r="M192" s="136"/>
      <c r="N192" s="136"/>
      <c r="O192" s="136"/>
      <c r="P192" s="136"/>
      <c r="Q192" s="136"/>
      <c r="R192" s="136"/>
      <c r="S192" s="136"/>
      <c r="T192" s="136"/>
      <c r="U192" s="136"/>
      <c r="V192" s="136"/>
    </row>
    <row r="193" ht="9.75" outlineLevel="1"/>
    <row r="194" spans="2:8" ht="9.75" outlineLevel="1">
      <c r="B194" s="1" t="s">
        <v>202</v>
      </c>
      <c r="C194" s="1">
        <f aca="true" t="shared" si="39" ref="C194:H194">$C$191</f>
        <v>1</v>
      </c>
      <c r="D194" s="1">
        <f t="shared" si="39"/>
        <v>1</v>
      </c>
      <c r="E194" s="1">
        <f t="shared" si="39"/>
        <v>1</v>
      </c>
      <c r="F194" s="1">
        <f t="shared" si="39"/>
        <v>1</v>
      </c>
      <c r="G194" s="1">
        <f t="shared" si="39"/>
        <v>1</v>
      </c>
      <c r="H194" s="1">
        <f t="shared" si="39"/>
        <v>1</v>
      </c>
    </row>
    <row r="195" spans="2:8" ht="9.75" outlineLevel="1">
      <c r="B195" s="1" t="s">
        <v>234</v>
      </c>
      <c r="C195" s="135">
        <f aca="true" t="shared" si="40" ref="C195:H195">$C$192</f>
        <v>1</v>
      </c>
      <c r="D195" s="135">
        <f t="shared" si="40"/>
        <v>1</v>
      </c>
      <c r="E195" s="135">
        <f t="shared" si="40"/>
        <v>1</v>
      </c>
      <c r="F195" s="135">
        <f t="shared" si="40"/>
        <v>1</v>
      </c>
      <c r="G195" s="135">
        <f t="shared" si="40"/>
        <v>1</v>
      </c>
      <c r="H195" s="135">
        <f t="shared" si="40"/>
        <v>1</v>
      </c>
    </row>
    <row r="196" ht="10.5" outlineLevel="1" thickBot="1"/>
    <row r="197" spans="2:10" ht="10.5" outlineLevel="1" thickBot="1">
      <c r="B197" s="114" t="s">
        <v>188</v>
      </c>
      <c r="C197" s="114" t="s">
        <v>189</v>
      </c>
      <c r="D197" s="93" t="s">
        <v>196</v>
      </c>
      <c r="E197" s="116" t="s">
        <v>38</v>
      </c>
      <c r="F197" s="116" t="s">
        <v>39</v>
      </c>
      <c r="G197" s="116" t="s">
        <v>40</v>
      </c>
      <c r="H197" s="116" t="s">
        <v>41</v>
      </c>
      <c r="I197" s="116" t="s">
        <v>42</v>
      </c>
      <c r="J197" s="117" t="s">
        <v>43</v>
      </c>
    </row>
    <row r="198" spans="2:10" ht="9.75" outlineLevel="1">
      <c r="B198" s="56" t="str">
        <f>rail1</f>
        <v>Cloudbreak to Port Dumper</v>
      </c>
      <c r="C198" s="8">
        <f aca="true" t="shared" si="41" ref="C198:C217">VLOOKUP($B198,raildata,3,FALSE)</f>
        <v>273534</v>
      </c>
      <c r="D198" s="6">
        <f aca="true" t="shared" si="42" ref="D198:D217">IF(VLOOKUP($B198,raildata,2,FALSE)="Yes",1,0)</f>
        <v>1</v>
      </c>
      <c r="E198" s="103">
        <f>E$154*$D198*C$195/C$194</f>
        <v>41438396</v>
      </c>
      <c r="F198" s="95">
        <f aca="true" t="shared" si="43" ref="F198:J213">F$154*$D198*D$195/D$194</f>
        <v>42681547.88</v>
      </c>
      <c r="G198" s="95">
        <f t="shared" si="43"/>
        <v>43961994.3164</v>
      </c>
      <c r="H198" s="95">
        <f t="shared" si="43"/>
        <v>45280854.145892</v>
      </c>
      <c r="I198" s="95">
        <f t="shared" si="43"/>
        <v>46639279.77026877</v>
      </c>
      <c r="J198" s="120">
        <f t="shared" si="43"/>
        <v>48038458.16337682</v>
      </c>
    </row>
    <row r="199" spans="2:10" ht="9.75" outlineLevel="1">
      <c r="B199" s="57" t="str">
        <f>rail2</f>
        <v>Route 2</v>
      </c>
      <c r="C199" s="8">
        <f t="shared" si="41"/>
        <v>0</v>
      </c>
      <c r="D199" s="6">
        <f t="shared" si="42"/>
        <v>0</v>
      </c>
      <c r="E199" s="37">
        <f aca="true" t="shared" si="44" ref="E199:E217">E$154*$D199*C$195/C$194</f>
        <v>0</v>
      </c>
      <c r="F199" s="29">
        <f t="shared" si="43"/>
        <v>0</v>
      </c>
      <c r="G199" s="29">
        <f t="shared" si="43"/>
        <v>0</v>
      </c>
      <c r="H199" s="29">
        <f t="shared" si="43"/>
        <v>0</v>
      </c>
      <c r="I199" s="29">
        <f t="shared" si="43"/>
        <v>0</v>
      </c>
      <c r="J199" s="41">
        <f t="shared" si="43"/>
        <v>0</v>
      </c>
    </row>
    <row r="200" spans="2:10" ht="9.75" outlineLevel="1">
      <c r="B200" s="57" t="str">
        <f>rail3</f>
        <v>Route 3</v>
      </c>
      <c r="C200" s="8">
        <f t="shared" si="41"/>
        <v>0</v>
      </c>
      <c r="D200" s="6">
        <f t="shared" si="42"/>
        <v>0</v>
      </c>
      <c r="E200" s="37">
        <f t="shared" si="44"/>
        <v>0</v>
      </c>
      <c r="F200" s="29">
        <f t="shared" si="43"/>
        <v>0</v>
      </c>
      <c r="G200" s="29">
        <f t="shared" si="43"/>
        <v>0</v>
      </c>
      <c r="H200" s="29">
        <f t="shared" si="43"/>
        <v>0</v>
      </c>
      <c r="I200" s="29">
        <f t="shared" si="43"/>
        <v>0</v>
      </c>
      <c r="J200" s="41">
        <f t="shared" si="43"/>
        <v>0</v>
      </c>
    </row>
    <row r="201" spans="2:10" ht="9.75" outlineLevel="1">
      <c r="B201" s="57" t="str">
        <f>rail4</f>
        <v>Route 4</v>
      </c>
      <c r="C201" s="8">
        <f t="shared" si="41"/>
        <v>0</v>
      </c>
      <c r="D201" s="6">
        <f t="shared" si="42"/>
        <v>0</v>
      </c>
      <c r="E201" s="37">
        <f t="shared" si="44"/>
        <v>0</v>
      </c>
      <c r="F201" s="29">
        <f t="shared" si="43"/>
        <v>0</v>
      </c>
      <c r="G201" s="29">
        <f t="shared" si="43"/>
        <v>0</v>
      </c>
      <c r="H201" s="29">
        <f t="shared" si="43"/>
        <v>0</v>
      </c>
      <c r="I201" s="29">
        <f t="shared" si="43"/>
        <v>0</v>
      </c>
      <c r="J201" s="41">
        <f t="shared" si="43"/>
        <v>0</v>
      </c>
    </row>
    <row r="202" spans="2:10" ht="9.75" outlineLevel="1">
      <c r="B202" s="57" t="str">
        <f>rail5</f>
        <v>Route 5</v>
      </c>
      <c r="C202" s="8">
        <f t="shared" si="41"/>
        <v>0</v>
      </c>
      <c r="D202" s="6">
        <f t="shared" si="42"/>
        <v>0</v>
      </c>
      <c r="E202" s="37">
        <f t="shared" si="44"/>
        <v>0</v>
      </c>
      <c r="F202" s="29">
        <f t="shared" si="43"/>
        <v>0</v>
      </c>
      <c r="G202" s="29">
        <f t="shared" si="43"/>
        <v>0</v>
      </c>
      <c r="H202" s="29">
        <f t="shared" si="43"/>
        <v>0</v>
      </c>
      <c r="I202" s="29">
        <f t="shared" si="43"/>
        <v>0</v>
      </c>
      <c r="J202" s="41">
        <f t="shared" si="43"/>
        <v>0</v>
      </c>
    </row>
    <row r="203" spans="2:10" ht="9.75" outlineLevel="1">
      <c r="B203" s="57" t="str">
        <f>rail6</f>
        <v>Route 6</v>
      </c>
      <c r="C203" s="8">
        <f t="shared" si="41"/>
        <v>0</v>
      </c>
      <c r="D203" s="6">
        <f t="shared" si="42"/>
        <v>0</v>
      </c>
      <c r="E203" s="37">
        <f t="shared" si="44"/>
        <v>0</v>
      </c>
      <c r="F203" s="29">
        <f t="shared" si="43"/>
        <v>0</v>
      </c>
      <c r="G203" s="29">
        <f t="shared" si="43"/>
        <v>0</v>
      </c>
      <c r="H203" s="29">
        <f t="shared" si="43"/>
        <v>0</v>
      </c>
      <c r="I203" s="29">
        <f t="shared" si="43"/>
        <v>0</v>
      </c>
      <c r="J203" s="41">
        <f t="shared" si="43"/>
        <v>0</v>
      </c>
    </row>
    <row r="204" spans="2:10" ht="9.75" outlineLevel="1">
      <c r="B204" s="57" t="str">
        <f>rail7</f>
        <v>Route 7</v>
      </c>
      <c r="C204" s="8">
        <f t="shared" si="41"/>
        <v>0</v>
      </c>
      <c r="D204" s="6">
        <f t="shared" si="42"/>
        <v>0</v>
      </c>
      <c r="E204" s="37">
        <f t="shared" si="44"/>
        <v>0</v>
      </c>
      <c r="F204" s="29">
        <f t="shared" si="43"/>
        <v>0</v>
      </c>
      <c r="G204" s="29">
        <f t="shared" si="43"/>
        <v>0</v>
      </c>
      <c r="H204" s="29">
        <f t="shared" si="43"/>
        <v>0</v>
      </c>
      <c r="I204" s="29">
        <f t="shared" si="43"/>
        <v>0</v>
      </c>
      <c r="J204" s="41">
        <f t="shared" si="43"/>
        <v>0</v>
      </c>
    </row>
    <row r="205" spans="2:10" ht="9.75" outlineLevel="1">
      <c r="B205" s="57" t="str">
        <f>rail8</f>
        <v>Route 8</v>
      </c>
      <c r="C205" s="8">
        <f t="shared" si="41"/>
        <v>0</v>
      </c>
      <c r="D205" s="6">
        <f t="shared" si="42"/>
        <v>0</v>
      </c>
      <c r="E205" s="37">
        <f t="shared" si="44"/>
        <v>0</v>
      </c>
      <c r="F205" s="29">
        <f t="shared" si="43"/>
        <v>0</v>
      </c>
      <c r="G205" s="29">
        <f t="shared" si="43"/>
        <v>0</v>
      </c>
      <c r="H205" s="29">
        <f t="shared" si="43"/>
        <v>0</v>
      </c>
      <c r="I205" s="29">
        <f t="shared" si="43"/>
        <v>0</v>
      </c>
      <c r="J205" s="41">
        <f t="shared" si="43"/>
        <v>0</v>
      </c>
    </row>
    <row r="206" spans="2:10" ht="9.75" outlineLevel="1">
      <c r="B206" s="57" t="str">
        <f>rail9</f>
        <v>Route 9</v>
      </c>
      <c r="C206" s="8">
        <f t="shared" si="41"/>
        <v>0</v>
      </c>
      <c r="D206" s="6">
        <f t="shared" si="42"/>
        <v>0</v>
      </c>
      <c r="E206" s="37">
        <f t="shared" si="44"/>
        <v>0</v>
      </c>
      <c r="F206" s="29">
        <f t="shared" si="43"/>
        <v>0</v>
      </c>
      <c r="G206" s="29">
        <f t="shared" si="43"/>
        <v>0</v>
      </c>
      <c r="H206" s="29">
        <f t="shared" si="43"/>
        <v>0</v>
      </c>
      <c r="I206" s="29">
        <f t="shared" si="43"/>
        <v>0</v>
      </c>
      <c r="J206" s="41">
        <f t="shared" si="43"/>
        <v>0</v>
      </c>
    </row>
    <row r="207" spans="2:10" ht="9.75" outlineLevel="1">
      <c r="B207" s="57" t="str">
        <f>rail10</f>
        <v>Route 10</v>
      </c>
      <c r="C207" s="8">
        <f t="shared" si="41"/>
        <v>0</v>
      </c>
      <c r="D207" s="6">
        <f t="shared" si="42"/>
        <v>0</v>
      </c>
      <c r="E207" s="37">
        <f t="shared" si="44"/>
        <v>0</v>
      </c>
      <c r="F207" s="29">
        <f t="shared" si="43"/>
        <v>0</v>
      </c>
      <c r="G207" s="29">
        <f t="shared" si="43"/>
        <v>0</v>
      </c>
      <c r="H207" s="29">
        <f t="shared" si="43"/>
        <v>0</v>
      </c>
      <c r="I207" s="29">
        <f t="shared" si="43"/>
        <v>0</v>
      </c>
      <c r="J207" s="41">
        <f t="shared" si="43"/>
        <v>0</v>
      </c>
    </row>
    <row r="208" spans="2:10" ht="9.75" outlineLevel="1">
      <c r="B208" s="57" t="str">
        <f>rail11</f>
        <v>Route 11</v>
      </c>
      <c r="C208" s="8">
        <f t="shared" si="41"/>
        <v>0</v>
      </c>
      <c r="D208" s="6">
        <f t="shared" si="42"/>
        <v>0</v>
      </c>
      <c r="E208" s="37">
        <f t="shared" si="44"/>
        <v>0</v>
      </c>
      <c r="F208" s="29">
        <f t="shared" si="43"/>
        <v>0</v>
      </c>
      <c r="G208" s="29">
        <f t="shared" si="43"/>
        <v>0</v>
      </c>
      <c r="H208" s="29">
        <f t="shared" si="43"/>
        <v>0</v>
      </c>
      <c r="I208" s="29">
        <f t="shared" si="43"/>
        <v>0</v>
      </c>
      <c r="J208" s="41">
        <f t="shared" si="43"/>
        <v>0</v>
      </c>
    </row>
    <row r="209" spans="2:10" ht="9.75" outlineLevel="1">
      <c r="B209" s="57" t="str">
        <f>rail12</f>
        <v>Route 12</v>
      </c>
      <c r="C209" s="8">
        <f t="shared" si="41"/>
        <v>0</v>
      </c>
      <c r="D209" s="6">
        <f t="shared" si="42"/>
        <v>0</v>
      </c>
      <c r="E209" s="37">
        <f t="shared" si="44"/>
        <v>0</v>
      </c>
      <c r="F209" s="29">
        <f t="shared" si="43"/>
        <v>0</v>
      </c>
      <c r="G209" s="29">
        <f t="shared" si="43"/>
        <v>0</v>
      </c>
      <c r="H209" s="29">
        <f t="shared" si="43"/>
        <v>0</v>
      </c>
      <c r="I209" s="29">
        <f t="shared" si="43"/>
        <v>0</v>
      </c>
      <c r="J209" s="41">
        <f t="shared" si="43"/>
        <v>0</v>
      </c>
    </row>
    <row r="210" spans="2:10" ht="9.75" outlineLevel="1">
      <c r="B210" s="57" t="str">
        <f>rail13</f>
        <v>Route 13</v>
      </c>
      <c r="C210" s="8">
        <f t="shared" si="41"/>
        <v>0</v>
      </c>
      <c r="D210" s="6">
        <f t="shared" si="42"/>
        <v>0</v>
      </c>
      <c r="E210" s="37">
        <f t="shared" si="44"/>
        <v>0</v>
      </c>
      <c r="F210" s="29">
        <f t="shared" si="43"/>
        <v>0</v>
      </c>
      <c r="G210" s="29">
        <f t="shared" si="43"/>
        <v>0</v>
      </c>
      <c r="H210" s="29">
        <f t="shared" si="43"/>
        <v>0</v>
      </c>
      <c r="I210" s="29">
        <f t="shared" si="43"/>
        <v>0</v>
      </c>
      <c r="J210" s="41">
        <f t="shared" si="43"/>
        <v>0</v>
      </c>
    </row>
    <row r="211" spans="2:10" ht="9.75" outlineLevel="1">
      <c r="B211" s="57" t="str">
        <f>rail14</f>
        <v>Route 14</v>
      </c>
      <c r="C211" s="8">
        <f t="shared" si="41"/>
        <v>0</v>
      </c>
      <c r="D211" s="6">
        <f t="shared" si="42"/>
        <v>0</v>
      </c>
      <c r="E211" s="37">
        <f t="shared" si="44"/>
        <v>0</v>
      </c>
      <c r="F211" s="29">
        <f t="shared" si="43"/>
        <v>0</v>
      </c>
      <c r="G211" s="29">
        <f t="shared" si="43"/>
        <v>0</v>
      </c>
      <c r="H211" s="29">
        <f t="shared" si="43"/>
        <v>0</v>
      </c>
      <c r="I211" s="29">
        <f t="shared" si="43"/>
        <v>0</v>
      </c>
      <c r="J211" s="41">
        <f t="shared" si="43"/>
        <v>0</v>
      </c>
    </row>
    <row r="212" spans="2:10" ht="9.75" outlineLevel="1">
      <c r="B212" s="57" t="str">
        <f>rail15</f>
        <v>Route 15</v>
      </c>
      <c r="C212" s="8">
        <f t="shared" si="41"/>
        <v>0</v>
      </c>
      <c r="D212" s="6">
        <f t="shared" si="42"/>
        <v>0</v>
      </c>
      <c r="E212" s="37">
        <f t="shared" si="44"/>
        <v>0</v>
      </c>
      <c r="F212" s="29">
        <f t="shared" si="43"/>
        <v>0</v>
      </c>
      <c r="G212" s="29">
        <f t="shared" si="43"/>
        <v>0</v>
      </c>
      <c r="H212" s="29">
        <f t="shared" si="43"/>
        <v>0</v>
      </c>
      <c r="I212" s="29">
        <f t="shared" si="43"/>
        <v>0</v>
      </c>
      <c r="J212" s="41">
        <f t="shared" si="43"/>
        <v>0</v>
      </c>
    </row>
    <row r="213" spans="2:10" ht="9.75" outlineLevel="1">
      <c r="B213" s="57" t="str">
        <f>rail16</f>
        <v>Route 16</v>
      </c>
      <c r="C213" s="8">
        <f t="shared" si="41"/>
        <v>0</v>
      </c>
      <c r="D213" s="6">
        <f t="shared" si="42"/>
        <v>0</v>
      </c>
      <c r="E213" s="37">
        <f t="shared" si="44"/>
        <v>0</v>
      </c>
      <c r="F213" s="29">
        <f t="shared" si="43"/>
        <v>0</v>
      </c>
      <c r="G213" s="29">
        <f t="shared" si="43"/>
        <v>0</v>
      </c>
      <c r="H213" s="29">
        <f t="shared" si="43"/>
        <v>0</v>
      </c>
      <c r="I213" s="29">
        <f t="shared" si="43"/>
        <v>0</v>
      </c>
      <c r="J213" s="41">
        <f t="shared" si="43"/>
        <v>0</v>
      </c>
    </row>
    <row r="214" spans="2:10" ht="9.75" outlineLevel="1">
      <c r="B214" s="57" t="str">
        <f>rail17</f>
        <v>Route 17</v>
      </c>
      <c r="C214" s="8">
        <f t="shared" si="41"/>
        <v>0</v>
      </c>
      <c r="D214" s="6">
        <f t="shared" si="42"/>
        <v>0</v>
      </c>
      <c r="E214" s="37">
        <f t="shared" si="44"/>
        <v>0</v>
      </c>
      <c r="F214" s="29">
        <f aca="true" t="shared" si="45" ref="F214:J217">F$154*$D214*D$195/D$194</f>
        <v>0</v>
      </c>
      <c r="G214" s="29">
        <f t="shared" si="45"/>
        <v>0</v>
      </c>
      <c r="H214" s="29">
        <f t="shared" si="45"/>
        <v>0</v>
      </c>
      <c r="I214" s="29">
        <f t="shared" si="45"/>
        <v>0</v>
      </c>
      <c r="J214" s="41">
        <f t="shared" si="45"/>
        <v>0</v>
      </c>
    </row>
    <row r="215" spans="2:10" ht="9.75" outlineLevel="1">
      <c r="B215" s="57" t="str">
        <f>rail18</f>
        <v>Route 18</v>
      </c>
      <c r="C215" s="8">
        <f t="shared" si="41"/>
        <v>0</v>
      </c>
      <c r="D215" s="6">
        <f t="shared" si="42"/>
        <v>0</v>
      </c>
      <c r="E215" s="37">
        <f t="shared" si="44"/>
        <v>0</v>
      </c>
      <c r="F215" s="29">
        <f t="shared" si="45"/>
        <v>0</v>
      </c>
      <c r="G215" s="29">
        <f t="shared" si="45"/>
        <v>0</v>
      </c>
      <c r="H215" s="29">
        <f t="shared" si="45"/>
        <v>0</v>
      </c>
      <c r="I215" s="29">
        <f t="shared" si="45"/>
        <v>0</v>
      </c>
      <c r="J215" s="41">
        <f t="shared" si="45"/>
        <v>0</v>
      </c>
    </row>
    <row r="216" spans="2:10" ht="9.75" outlineLevel="1">
      <c r="B216" s="57" t="str">
        <f>rail19</f>
        <v>Route 19</v>
      </c>
      <c r="C216" s="8">
        <f t="shared" si="41"/>
        <v>0</v>
      </c>
      <c r="D216" s="6">
        <f t="shared" si="42"/>
        <v>0</v>
      </c>
      <c r="E216" s="37">
        <f t="shared" si="44"/>
        <v>0</v>
      </c>
      <c r="F216" s="29">
        <f t="shared" si="45"/>
        <v>0</v>
      </c>
      <c r="G216" s="29">
        <f t="shared" si="45"/>
        <v>0</v>
      </c>
      <c r="H216" s="29">
        <f t="shared" si="45"/>
        <v>0</v>
      </c>
      <c r="I216" s="29">
        <f t="shared" si="45"/>
        <v>0</v>
      </c>
      <c r="J216" s="41">
        <f t="shared" si="45"/>
        <v>0</v>
      </c>
    </row>
    <row r="217" spans="2:10" ht="10.5" outlineLevel="1" thickBot="1">
      <c r="B217" s="57" t="str">
        <f>rail20</f>
        <v>Route 20</v>
      </c>
      <c r="C217" s="8">
        <f t="shared" si="41"/>
        <v>0</v>
      </c>
      <c r="D217" s="6">
        <f t="shared" si="42"/>
        <v>0</v>
      </c>
      <c r="E217" s="101">
        <f t="shared" si="44"/>
        <v>0</v>
      </c>
      <c r="F217" s="97">
        <f t="shared" si="45"/>
        <v>0</v>
      </c>
      <c r="G217" s="97">
        <f t="shared" si="45"/>
        <v>0</v>
      </c>
      <c r="H217" s="97">
        <f t="shared" si="45"/>
        <v>0</v>
      </c>
      <c r="I217" s="97">
        <f t="shared" si="45"/>
        <v>0</v>
      </c>
      <c r="J217" s="102">
        <f t="shared" si="45"/>
        <v>0</v>
      </c>
    </row>
    <row r="218" spans="2:10" ht="10.5" outlineLevel="1" thickBot="1">
      <c r="B218" s="50" t="s">
        <v>645</v>
      </c>
      <c r="C218" s="115">
        <f aca="true" t="shared" si="46" ref="C218:J218">SUM(C198:C217)</f>
        <v>273534</v>
      </c>
      <c r="D218" s="64">
        <f t="shared" si="46"/>
        <v>1</v>
      </c>
      <c r="E218" s="118">
        <f t="shared" si="46"/>
        <v>41438396</v>
      </c>
      <c r="F218" s="119">
        <f t="shared" si="46"/>
        <v>42681547.88</v>
      </c>
      <c r="G218" s="119">
        <f t="shared" si="46"/>
        <v>43961994.3164</v>
      </c>
      <c r="H218" s="119">
        <f t="shared" si="46"/>
        <v>45280854.145892</v>
      </c>
      <c r="I218" s="119">
        <f t="shared" si="46"/>
        <v>46639279.77026877</v>
      </c>
      <c r="J218" s="98">
        <f t="shared" si="46"/>
        <v>48038458.16337682</v>
      </c>
    </row>
    <row r="219" spans="2:10" ht="9.75" outlineLevel="1">
      <c r="B219" s="1" t="s">
        <v>190</v>
      </c>
      <c r="C219" s="6" t="str">
        <f>IF(C218=raillength,"Ok","Error")</f>
        <v>Ok</v>
      </c>
      <c r="D219" s="6" t="str">
        <f>IF(D218=railsegments,"Ok","Error")</f>
        <v>Ok</v>
      </c>
      <c r="E219" s="6" t="str">
        <f aca="true" t="shared" si="47" ref="E219:J219">IF(ROUND(E$218,2)=ROUND(E$154*$D$218*C$195/C$194,2),"Ok","Error")</f>
        <v>Ok</v>
      </c>
      <c r="F219" s="6" t="str">
        <f t="shared" si="47"/>
        <v>Ok</v>
      </c>
      <c r="G219" s="6" t="str">
        <f t="shared" si="47"/>
        <v>Ok</v>
      </c>
      <c r="H219" s="6" t="str">
        <f t="shared" si="47"/>
        <v>Ok</v>
      </c>
      <c r="I219" s="6" t="str">
        <f t="shared" si="47"/>
        <v>Ok</v>
      </c>
      <c r="J219" s="6" t="str">
        <f t="shared" si="47"/>
        <v>Ok</v>
      </c>
    </row>
    <row r="220" spans="2:3" ht="9.75" outlineLevel="1">
      <c r="B220" s="2" t="s">
        <v>191</v>
      </c>
      <c r="C220" s="9" t="str">
        <f>IF(COUNTIF(C219:J219,"Error")&gt;0,"Error","All Ok")</f>
        <v>All Ok</v>
      </c>
    </row>
    <row r="223" spans="1:2" ht="9.75">
      <c r="A223" s="198" t="str">
        <f>HYPERLINK(CONCATENATE(workbookname,"$A$1"),"Top")</f>
        <v>Top</v>
      </c>
      <c r="B223" s="3" t="str">
        <f>Contents!B84</f>
        <v>Allocation of costs by Gross Tonne KM</v>
      </c>
    </row>
    <row r="224" ht="10.5" thickBot="1">
      <c r="B224" s="171" t="str">
        <f>Contents!D84</f>
        <v>Operating costs that need to be split by tgross tonne km</v>
      </c>
    </row>
    <row r="225" spans="4:12" ht="10.5" outlineLevel="1" thickBot="1">
      <c r="D225" s="76" t="s">
        <v>194</v>
      </c>
      <c r="E225" s="66" t="str">
        <f>cust1</f>
        <v>FMG - CB</v>
      </c>
      <c r="F225" s="67" t="str">
        <f>cust2</f>
        <v>Customer 2</v>
      </c>
      <c r="G225" s="67" t="str">
        <f>cust3</f>
        <v>Customer 3</v>
      </c>
      <c r="H225" s="67" t="str">
        <f>cust4</f>
        <v>Customer 4</v>
      </c>
      <c r="I225" s="67" t="str">
        <f>cust5</f>
        <v>Customer 5</v>
      </c>
      <c r="J225" s="67" t="str">
        <f>cust6</f>
        <v>Customer 6</v>
      </c>
      <c r="K225" s="67" t="str">
        <f>cust7</f>
        <v>Customer 7</v>
      </c>
      <c r="L225" s="68" t="str">
        <f>cust8</f>
        <v>Customer 8</v>
      </c>
    </row>
    <row r="226" spans="2:12" ht="21" outlineLevel="1" thickBot="1">
      <c r="B226" s="114" t="s">
        <v>188</v>
      </c>
      <c r="C226" s="114" t="s">
        <v>189</v>
      </c>
      <c r="D226" s="92" t="s">
        <v>197</v>
      </c>
      <c r="E226" s="250" t="s">
        <v>198</v>
      </c>
      <c r="F226" s="251"/>
      <c r="G226" s="251"/>
      <c r="H226" s="251"/>
      <c r="I226" s="251"/>
      <c r="J226" s="251"/>
      <c r="K226" s="251"/>
      <c r="L226" s="252"/>
    </row>
    <row r="227" spans="2:12" ht="9.75" outlineLevel="1">
      <c r="B227" s="56" t="str">
        <f>rail1</f>
        <v>Cloudbreak to Port Dumper</v>
      </c>
      <c r="C227" s="37">
        <f aca="true" t="shared" si="48" ref="C227:C246">VLOOKUP($B227,raildata,3,FALSE)</f>
        <v>273534</v>
      </c>
      <c r="D227" s="33">
        <f aca="true" t="shared" si="49" ref="D227:D246">IF(VLOOKUP($B227,raildata,2,FALSE)="Yes",1,0)</f>
        <v>1</v>
      </c>
      <c r="E227" s="47">
        <f aca="true" t="shared" si="50" ref="E227:L236">IF(VLOOKUP($B227,railswitch,MATCH(E$225,railswitchhead,FALSE),FALSE)="On",1,0)</f>
        <v>1</v>
      </c>
      <c r="F227" s="48">
        <f t="shared" si="50"/>
        <v>0</v>
      </c>
      <c r="G227" s="48">
        <f t="shared" si="50"/>
        <v>0</v>
      </c>
      <c r="H227" s="48">
        <f t="shared" si="50"/>
        <v>0</v>
      </c>
      <c r="I227" s="48">
        <f t="shared" si="50"/>
        <v>0</v>
      </c>
      <c r="J227" s="48">
        <f t="shared" si="50"/>
        <v>0</v>
      </c>
      <c r="K227" s="48">
        <f t="shared" si="50"/>
        <v>0</v>
      </c>
      <c r="L227" s="49">
        <f t="shared" si="50"/>
        <v>0</v>
      </c>
    </row>
    <row r="228" spans="2:12" ht="9.75" outlineLevel="1">
      <c r="B228" s="57" t="str">
        <f>rail2</f>
        <v>Route 2</v>
      </c>
      <c r="C228" s="37">
        <f t="shared" si="48"/>
        <v>0</v>
      </c>
      <c r="D228" s="33">
        <f t="shared" si="49"/>
        <v>0</v>
      </c>
      <c r="E228" s="38">
        <f t="shared" si="50"/>
        <v>0</v>
      </c>
      <c r="F228" s="33">
        <f t="shared" si="50"/>
        <v>0</v>
      </c>
      <c r="G228" s="33">
        <f t="shared" si="50"/>
        <v>0</v>
      </c>
      <c r="H228" s="33">
        <f t="shared" si="50"/>
        <v>0</v>
      </c>
      <c r="I228" s="33">
        <f t="shared" si="50"/>
        <v>0</v>
      </c>
      <c r="J228" s="33">
        <f t="shared" si="50"/>
        <v>0</v>
      </c>
      <c r="K228" s="33">
        <f t="shared" si="50"/>
        <v>0</v>
      </c>
      <c r="L228" s="39">
        <f t="shared" si="50"/>
        <v>0</v>
      </c>
    </row>
    <row r="229" spans="2:12" ht="9.75" outlineLevel="1">
      <c r="B229" s="57" t="str">
        <f>rail3</f>
        <v>Route 3</v>
      </c>
      <c r="C229" s="37">
        <f t="shared" si="48"/>
        <v>0</v>
      </c>
      <c r="D229" s="33">
        <f t="shared" si="49"/>
        <v>0</v>
      </c>
      <c r="E229" s="38">
        <f t="shared" si="50"/>
        <v>0</v>
      </c>
      <c r="F229" s="33">
        <f t="shared" si="50"/>
        <v>0</v>
      </c>
      <c r="G229" s="33">
        <f t="shared" si="50"/>
        <v>0</v>
      </c>
      <c r="H229" s="33">
        <f t="shared" si="50"/>
        <v>0</v>
      </c>
      <c r="I229" s="33">
        <f t="shared" si="50"/>
        <v>0</v>
      </c>
      <c r="J229" s="33">
        <f t="shared" si="50"/>
        <v>0</v>
      </c>
      <c r="K229" s="33">
        <f t="shared" si="50"/>
        <v>0</v>
      </c>
      <c r="L229" s="39">
        <f t="shared" si="50"/>
        <v>0</v>
      </c>
    </row>
    <row r="230" spans="2:12" ht="9.75" outlineLevel="1">
      <c r="B230" s="57" t="str">
        <f>rail4</f>
        <v>Route 4</v>
      </c>
      <c r="C230" s="37">
        <f t="shared" si="48"/>
        <v>0</v>
      </c>
      <c r="D230" s="33">
        <f t="shared" si="49"/>
        <v>0</v>
      </c>
      <c r="E230" s="38">
        <f t="shared" si="50"/>
        <v>0</v>
      </c>
      <c r="F230" s="33">
        <f t="shared" si="50"/>
        <v>0</v>
      </c>
      <c r="G230" s="33">
        <f t="shared" si="50"/>
        <v>0</v>
      </c>
      <c r="H230" s="33">
        <f t="shared" si="50"/>
        <v>0</v>
      </c>
      <c r="I230" s="33">
        <f t="shared" si="50"/>
        <v>0</v>
      </c>
      <c r="J230" s="33">
        <f t="shared" si="50"/>
        <v>0</v>
      </c>
      <c r="K230" s="33">
        <f t="shared" si="50"/>
        <v>0</v>
      </c>
      <c r="L230" s="39">
        <f t="shared" si="50"/>
        <v>0</v>
      </c>
    </row>
    <row r="231" spans="2:12" ht="9.75" outlineLevel="1">
      <c r="B231" s="57" t="str">
        <f>rail5</f>
        <v>Route 5</v>
      </c>
      <c r="C231" s="37">
        <f t="shared" si="48"/>
        <v>0</v>
      </c>
      <c r="D231" s="33">
        <f t="shared" si="49"/>
        <v>0</v>
      </c>
      <c r="E231" s="38">
        <f t="shared" si="50"/>
        <v>0</v>
      </c>
      <c r="F231" s="33">
        <f t="shared" si="50"/>
        <v>0</v>
      </c>
      <c r="G231" s="33">
        <f t="shared" si="50"/>
        <v>0</v>
      </c>
      <c r="H231" s="33">
        <f t="shared" si="50"/>
        <v>0</v>
      </c>
      <c r="I231" s="33">
        <f t="shared" si="50"/>
        <v>0</v>
      </c>
      <c r="J231" s="33">
        <f t="shared" si="50"/>
        <v>0</v>
      </c>
      <c r="K231" s="33">
        <f t="shared" si="50"/>
        <v>0</v>
      </c>
      <c r="L231" s="39">
        <f t="shared" si="50"/>
        <v>0</v>
      </c>
    </row>
    <row r="232" spans="2:12" ht="9.75" outlineLevel="1">
      <c r="B232" s="57" t="str">
        <f>rail6</f>
        <v>Route 6</v>
      </c>
      <c r="C232" s="37">
        <f t="shared" si="48"/>
        <v>0</v>
      </c>
      <c r="D232" s="33">
        <f t="shared" si="49"/>
        <v>0</v>
      </c>
      <c r="E232" s="38">
        <f t="shared" si="50"/>
        <v>0</v>
      </c>
      <c r="F232" s="33">
        <f t="shared" si="50"/>
        <v>0</v>
      </c>
      <c r="G232" s="33">
        <f t="shared" si="50"/>
        <v>0</v>
      </c>
      <c r="H232" s="33">
        <f t="shared" si="50"/>
        <v>0</v>
      </c>
      <c r="I232" s="33">
        <f t="shared" si="50"/>
        <v>0</v>
      </c>
      <c r="J232" s="33">
        <f t="shared" si="50"/>
        <v>0</v>
      </c>
      <c r="K232" s="33">
        <f t="shared" si="50"/>
        <v>0</v>
      </c>
      <c r="L232" s="39">
        <f t="shared" si="50"/>
        <v>0</v>
      </c>
    </row>
    <row r="233" spans="2:12" ht="9.75" outlineLevel="1">
      <c r="B233" s="57" t="str">
        <f>rail7</f>
        <v>Route 7</v>
      </c>
      <c r="C233" s="37">
        <f t="shared" si="48"/>
        <v>0</v>
      </c>
      <c r="D233" s="33">
        <f t="shared" si="49"/>
        <v>0</v>
      </c>
      <c r="E233" s="38">
        <f t="shared" si="50"/>
        <v>0</v>
      </c>
      <c r="F233" s="33">
        <f t="shared" si="50"/>
        <v>0</v>
      </c>
      <c r="G233" s="33">
        <f t="shared" si="50"/>
        <v>0</v>
      </c>
      <c r="H233" s="33">
        <f t="shared" si="50"/>
        <v>0</v>
      </c>
      <c r="I233" s="33">
        <f t="shared" si="50"/>
        <v>0</v>
      </c>
      <c r="J233" s="33">
        <f t="shared" si="50"/>
        <v>0</v>
      </c>
      <c r="K233" s="33">
        <f t="shared" si="50"/>
        <v>0</v>
      </c>
      <c r="L233" s="39">
        <f t="shared" si="50"/>
        <v>0</v>
      </c>
    </row>
    <row r="234" spans="2:12" ht="9.75" outlineLevel="1">
      <c r="B234" s="57" t="str">
        <f>rail8</f>
        <v>Route 8</v>
      </c>
      <c r="C234" s="37">
        <f t="shared" si="48"/>
        <v>0</v>
      </c>
      <c r="D234" s="33">
        <f t="shared" si="49"/>
        <v>0</v>
      </c>
      <c r="E234" s="38">
        <f t="shared" si="50"/>
        <v>0</v>
      </c>
      <c r="F234" s="33">
        <f t="shared" si="50"/>
        <v>0</v>
      </c>
      <c r="G234" s="33">
        <f t="shared" si="50"/>
        <v>0</v>
      </c>
      <c r="H234" s="33">
        <f t="shared" si="50"/>
        <v>0</v>
      </c>
      <c r="I234" s="33">
        <f t="shared" si="50"/>
        <v>0</v>
      </c>
      <c r="J234" s="33">
        <f t="shared" si="50"/>
        <v>0</v>
      </c>
      <c r="K234" s="33">
        <f t="shared" si="50"/>
        <v>0</v>
      </c>
      <c r="L234" s="39">
        <f t="shared" si="50"/>
        <v>0</v>
      </c>
    </row>
    <row r="235" spans="2:12" ht="9.75" outlineLevel="1">
      <c r="B235" s="57" t="str">
        <f>rail9</f>
        <v>Route 9</v>
      </c>
      <c r="C235" s="37">
        <f t="shared" si="48"/>
        <v>0</v>
      </c>
      <c r="D235" s="33">
        <f t="shared" si="49"/>
        <v>0</v>
      </c>
      <c r="E235" s="38">
        <f t="shared" si="50"/>
        <v>0</v>
      </c>
      <c r="F235" s="33">
        <f t="shared" si="50"/>
        <v>0</v>
      </c>
      <c r="G235" s="33">
        <f t="shared" si="50"/>
        <v>0</v>
      </c>
      <c r="H235" s="33">
        <f t="shared" si="50"/>
        <v>0</v>
      </c>
      <c r="I235" s="33">
        <f t="shared" si="50"/>
        <v>0</v>
      </c>
      <c r="J235" s="33">
        <f t="shared" si="50"/>
        <v>0</v>
      </c>
      <c r="K235" s="33">
        <f t="shared" si="50"/>
        <v>0</v>
      </c>
      <c r="L235" s="39">
        <f t="shared" si="50"/>
        <v>0</v>
      </c>
    </row>
    <row r="236" spans="2:12" ht="9.75" outlineLevel="1">
      <c r="B236" s="57" t="str">
        <f>rail10</f>
        <v>Route 10</v>
      </c>
      <c r="C236" s="37">
        <f t="shared" si="48"/>
        <v>0</v>
      </c>
      <c r="D236" s="33">
        <f t="shared" si="49"/>
        <v>0</v>
      </c>
      <c r="E236" s="38">
        <f t="shared" si="50"/>
        <v>0</v>
      </c>
      <c r="F236" s="33">
        <f t="shared" si="50"/>
        <v>0</v>
      </c>
      <c r="G236" s="33">
        <f t="shared" si="50"/>
        <v>0</v>
      </c>
      <c r="H236" s="33">
        <f t="shared" si="50"/>
        <v>0</v>
      </c>
      <c r="I236" s="33">
        <f t="shared" si="50"/>
        <v>0</v>
      </c>
      <c r="J236" s="33">
        <f t="shared" si="50"/>
        <v>0</v>
      </c>
      <c r="K236" s="33">
        <f t="shared" si="50"/>
        <v>0</v>
      </c>
      <c r="L236" s="39">
        <f t="shared" si="50"/>
        <v>0</v>
      </c>
    </row>
    <row r="237" spans="2:12" ht="9.75" outlineLevel="1">
      <c r="B237" s="57" t="str">
        <f>rail11</f>
        <v>Route 11</v>
      </c>
      <c r="C237" s="37">
        <f t="shared" si="48"/>
        <v>0</v>
      </c>
      <c r="D237" s="33">
        <f t="shared" si="49"/>
        <v>0</v>
      </c>
      <c r="E237" s="38">
        <f aca="true" t="shared" si="51" ref="E237:L246">IF(VLOOKUP($B237,railswitch,MATCH(E$225,railswitchhead,FALSE),FALSE)="On",1,0)</f>
        <v>0</v>
      </c>
      <c r="F237" s="33">
        <f t="shared" si="51"/>
        <v>0</v>
      </c>
      <c r="G237" s="33">
        <f t="shared" si="51"/>
        <v>0</v>
      </c>
      <c r="H237" s="33">
        <f t="shared" si="51"/>
        <v>0</v>
      </c>
      <c r="I237" s="33">
        <f t="shared" si="51"/>
        <v>0</v>
      </c>
      <c r="J237" s="33">
        <f t="shared" si="51"/>
        <v>0</v>
      </c>
      <c r="K237" s="33">
        <f t="shared" si="51"/>
        <v>0</v>
      </c>
      <c r="L237" s="39">
        <f t="shared" si="51"/>
        <v>0</v>
      </c>
    </row>
    <row r="238" spans="2:12" ht="9.75" outlineLevel="1">
      <c r="B238" s="57" t="str">
        <f>rail12</f>
        <v>Route 12</v>
      </c>
      <c r="C238" s="37">
        <f t="shared" si="48"/>
        <v>0</v>
      </c>
      <c r="D238" s="33">
        <f t="shared" si="49"/>
        <v>0</v>
      </c>
      <c r="E238" s="38">
        <f t="shared" si="51"/>
        <v>0</v>
      </c>
      <c r="F238" s="33">
        <f t="shared" si="51"/>
        <v>0</v>
      </c>
      <c r="G238" s="33">
        <f t="shared" si="51"/>
        <v>0</v>
      </c>
      <c r="H238" s="33">
        <f t="shared" si="51"/>
        <v>0</v>
      </c>
      <c r="I238" s="33">
        <f t="shared" si="51"/>
        <v>0</v>
      </c>
      <c r="J238" s="33">
        <f t="shared" si="51"/>
        <v>0</v>
      </c>
      <c r="K238" s="33">
        <f t="shared" si="51"/>
        <v>0</v>
      </c>
      <c r="L238" s="39">
        <f t="shared" si="51"/>
        <v>0</v>
      </c>
    </row>
    <row r="239" spans="2:12" ht="9.75" outlineLevel="1">
      <c r="B239" s="57" t="str">
        <f>rail13</f>
        <v>Route 13</v>
      </c>
      <c r="C239" s="37">
        <f t="shared" si="48"/>
        <v>0</v>
      </c>
      <c r="D239" s="33">
        <f t="shared" si="49"/>
        <v>0</v>
      </c>
      <c r="E239" s="38">
        <f t="shared" si="51"/>
        <v>0</v>
      </c>
      <c r="F239" s="33">
        <f t="shared" si="51"/>
        <v>0</v>
      </c>
      <c r="G239" s="33">
        <f t="shared" si="51"/>
        <v>0</v>
      </c>
      <c r="H239" s="33">
        <f t="shared" si="51"/>
        <v>0</v>
      </c>
      <c r="I239" s="33">
        <f t="shared" si="51"/>
        <v>0</v>
      </c>
      <c r="J239" s="33">
        <f t="shared" si="51"/>
        <v>0</v>
      </c>
      <c r="K239" s="33">
        <f t="shared" si="51"/>
        <v>0</v>
      </c>
      <c r="L239" s="39">
        <f t="shared" si="51"/>
        <v>0</v>
      </c>
    </row>
    <row r="240" spans="2:12" ht="9.75" outlineLevel="1">
      <c r="B240" s="57" t="str">
        <f>rail14</f>
        <v>Route 14</v>
      </c>
      <c r="C240" s="37">
        <f t="shared" si="48"/>
        <v>0</v>
      </c>
      <c r="D240" s="33">
        <f t="shared" si="49"/>
        <v>0</v>
      </c>
      <c r="E240" s="38">
        <f t="shared" si="51"/>
        <v>0</v>
      </c>
      <c r="F240" s="33">
        <f t="shared" si="51"/>
        <v>0</v>
      </c>
      <c r="G240" s="33">
        <f t="shared" si="51"/>
        <v>0</v>
      </c>
      <c r="H240" s="33">
        <f t="shared" si="51"/>
        <v>0</v>
      </c>
      <c r="I240" s="33">
        <f t="shared" si="51"/>
        <v>0</v>
      </c>
      <c r="J240" s="33">
        <f t="shared" si="51"/>
        <v>0</v>
      </c>
      <c r="K240" s="33">
        <f t="shared" si="51"/>
        <v>0</v>
      </c>
      <c r="L240" s="39">
        <f t="shared" si="51"/>
        <v>0</v>
      </c>
    </row>
    <row r="241" spans="2:12" ht="9.75" outlineLevel="1">
      <c r="B241" s="57" t="str">
        <f>rail15</f>
        <v>Route 15</v>
      </c>
      <c r="C241" s="37">
        <f t="shared" si="48"/>
        <v>0</v>
      </c>
      <c r="D241" s="33">
        <f t="shared" si="49"/>
        <v>0</v>
      </c>
      <c r="E241" s="38">
        <f t="shared" si="51"/>
        <v>0</v>
      </c>
      <c r="F241" s="33">
        <f t="shared" si="51"/>
        <v>0</v>
      </c>
      <c r="G241" s="33">
        <f t="shared" si="51"/>
        <v>0</v>
      </c>
      <c r="H241" s="33">
        <f t="shared" si="51"/>
        <v>0</v>
      </c>
      <c r="I241" s="33">
        <f t="shared" si="51"/>
        <v>0</v>
      </c>
      <c r="J241" s="33">
        <f t="shared" si="51"/>
        <v>0</v>
      </c>
      <c r="K241" s="33">
        <f t="shared" si="51"/>
        <v>0</v>
      </c>
      <c r="L241" s="39">
        <f t="shared" si="51"/>
        <v>0</v>
      </c>
    </row>
    <row r="242" spans="2:12" ht="9.75" outlineLevel="1">
      <c r="B242" s="57" t="str">
        <f>rail16</f>
        <v>Route 16</v>
      </c>
      <c r="C242" s="37">
        <f t="shared" si="48"/>
        <v>0</v>
      </c>
      <c r="D242" s="33">
        <f t="shared" si="49"/>
        <v>0</v>
      </c>
      <c r="E242" s="38">
        <f t="shared" si="51"/>
        <v>0</v>
      </c>
      <c r="F242" s="33">
        <f t="shared" si="51"/>
        <v>0</v>
      </c>
      <c r="G242" s="33">
        <f t="shared" si="51"/>
        <v>0</v>
      </c>
      <c r="H242" s="33">
        <f t="shared" si="51"/>
        <v>0</v>
      </c>
      <c r="I242" s="33">
        <f t="shared" si="51"/>
        <v>0</v>
      </c>
      <c r="J242" s="33">
        <f t="shared" si="51"/>
        <v>0</v>
      </c>
      <c r="K242" s="33">
        <f t="shared" si="51"/>
        <v>0</v>
      </c>
      <c r="L242" s="39">
        <f t="shared" si="51"/>
        <v>0</v>
      </c>
    </row>
    <row r="243" spans="2:12" ht="9.75" outlineLevel="1">
      <c r="B243" s="57" t="str">
        <f>rail17</f>
        <v>Route 17</v>
      </c>
      <c r="C243" s="37">
        <f t="shared" si="48"/>
        <v>0</v>
      </c>
      <c r="D243" s="33">
        <f t="shared" si="49"/>
        <v>0</v>
      </c>
      <c r="E243" s="38">
        <f t="shared" si="51"/>
        <v>0</v>
      </c>
      <c r="F243" s="33">
        <f t="shared" si="51"/>
        <v>0</v>
      </c>
      <c r="G243" s="33">
        <f t="shared" si="51"/>
        <v>0</v>
      </c>
      <c r="H243" s="33">
        <f t="shared" si="51"/>
        <v>0</v>
      </c>
      <c r="I243" s="33">
        <f t="shared" si="51"/>
        <v>0</v>
      </c>
      <c r="J243" s="33">
        <f t="shared" si="51"/>
        <v>0</v>
      </c>
      <c r="K243" s="33">
        <f t="shared" si="51"/>
        <v>0</v>
      </c>
      <c r="L243" s="39">
        <f t="shared" si="51"/>
        <v>0</v>
      </c>
    </row>
    <row r="244" spans="2:12" ht="9.75" outlineLevel="1">
      <c r="B244" s="57" t="str">
        <f>rail18</f>
        <v>Route 18</v>
      </c>
      <c r="C244" s="37">
        <f t="shared" si="48"/>
        <v>0</v>
      </c>
      <c r="D244" s="33">
        <f t="shared" si="49"/>
        <v>0</v>
      </c>
      <c r="E244" s="38">
        <f t="shared" si="51"/>
        <v>0</v>
      </c>
      <c r="F244" s="33">
        <f t="shared" si="51"/>
        <v>0</v>
      </c>
      <c r="G244" s="33">
        <f t="shared" si="51"/>
        <v>0</v>
      </c>
      <c r="H244" s="33">
        <f t="shared" si="51"/>
        <v>0</v>
      </c>
      <c r="I244" s="33">
        <f t="shared" si="51"/>
        <v>0</v>
      </c>
      <c r="J244" s="33">
        <f t="shared" si="51"/>
        <v>0</v>
      </c>
      <c r="K244" s="33">
        <f t="shared" si="51"/>
        <v>0</v>
      </c>
      <c r="L244" s="39">
        <f t="shared" si="51"/>
        <v>0</v>
      </c>
    </row>
    <row r="245" spans="2:12" ht="9.75" outlineLevel="1">
      <c r="B245" s="57" t="str">
        <f>rail19</f>
        <v>Route 19</v>
      </c>
      <c r="C245" s="37">
        <f t="shared" si="48"/>
        <v>0</v>
      </c>
      <c r="D245" s="33">
        <f t="shared" si="49"/>
        <v>0</v>
      </c>
      <c r="E245" s="38">
        <f t="shared" si="51"/>
        <v>0</v>
      </c>
      <c r="F245" s="33">
        <f t="shared" si="51"/>
        <v>0</v>
      </c>
      <c r="G245" s="33">
        <f t="shared" si="51"/>
        <v>0</v>
      </c>
      <c r="H245" s="33">
        <f t="shared" si="51"/>
        <v>0</v>
      </c>
      <c r="I245" s="33">
        <f t="shared" si="51"/>
        <v>0</v>
      </c>
      <c r="J245" s="33">
        <f t="shared" si="51"/>
        <v>0</v>
      </c>
      <c r="K245" s="33">
        <f t="shared" si="51"/>
        <v>0</v>
      </c>
      <c r="L245" s="39">
        <f t="shared" si="51"/>
        <v>0</v>
      </c>
    </row>
    <row r="246" spans="2:12" ht="10.5" outlineLevel="1" thickBot="1">
      <c r="B246" s="57" t="str">
        <f>rail20</f>
        <v>Route 20</v>
      </c>
      <c r="C246" s="37">
        <f t="shared" si="48"/>
        <v>0</v>
      </c>
      <c r="D246" s="33">
        <f t="shared" si="49"/>
        <v>0</v>
      </c>
      <c r="E246" s="53">
        <f t="shared" si="51"/>
        <v>0</v>
      </c>
      <c r="F246" s="54">
        <f t="shared" si="51"/>
        <v>0</v>
      </c>
      <c r="G246" s="54">
        <f t="shared" si="51"/>
        <v>0</v>
      </c>
      <c r="H246" s="54">
        <f t="shared" si="51"/>
        <v>0</v>
      </c>
      <c r="I246" s="54">
        <f t="shared" si="51"/>
        <v>0</v>
      </c>
      <c r="J246" s="54">
        <f t="shared" si="51"/>
        <v>0</v>
      </c>
      <c r="K246" s="54">
        <f t="shared" si="51"/>
        <v>0</v>
      </c>
      <c r="L246" s="55">
        <f t="shared" si="51"/>
        <v>0</v>
      </c>
    </row>
    <row r="247" spans="2:12" ht="10.5" outlineLevel="1" thickBot="1">
      <c r="B247" s="50" t="s">
        <v>645</v>
      </c>
      <c r="C247" s="115">
        <f aca="true" t="shared" si="52" ref="C247:L247">SUM(C227:C246)</f>
        <v>273534</v>
      </c>
      <c r="D247" s="65">
        <f t="shared" si="52"/>
        <v>1</v>
      </c>
      <c r="E247" s="53">
        <f t="shared" si="52"/>
        <v>1</v>
      </c>
      <c r="F247" s="54">
        <f t="shared" si="52"/>
        <v>0</v>
      </c>
      <c r="G247" s="54">
        <f t="shared" si="52"/>
        <v>0</v>
      </c>
      <c r="H247" s="54">
        <f t="shared" si="52"/>
        <v>0</v>
      </c>
      <c r="I247" s="54">
        <f t="shared" si="52"/>
        <v>0</v>
      </c>
      <c r="J247" s="54">
        <f t="shared" si="52"/>
        <v>0</v>
      </c>
      <c r="K247" s="54">
        <f t="shared" si="52"/>
        <v>0</v>
      </c>
      <c r="L247" s="55">
        <f t="shared" si="52"/>
        <v>0</v>
      </c>
    </row>
    <row r="248" spans="2:12" ht="10.5" outlineLevel="1" thickBot="1">
      <c r="B248" s="133"/>
      <c r="C248" s="20"/>
      <c r="D248" s="35"/>
      <c r="E248" s="48"/>
      <c r="F248" s="48"/>
      <c r="G248" s="48"/>
      <c r="H248" s="48"/>
      <c r="I248" s="48"/>
      <c r="J248" s="48"/>
      <c r="K248" s="48"/>
      <c r="L248" s="49"/>
    </row>
    <row r="249" spans="4:12" ht="10.5" outlineLevel="1" thickBot="1">
      <c r="D249" s="76" t="s">
        <v>204</v>
      </c>
      <c r="E249" s="138">
        <f aca="true" t="shared" si="53" ref="E249:L249">VLOOKUP(E$84,custdata,2,FALSE)</f>
        <v>40000000</v>
      </c>
      <c r="F249" s="139">
        <f t="shared" si="53"/>
        <v>0</v>
      </c>
      <c r="G249" s="139">
        <f t="shared" si="53"/>
        <v>0</v>
      </c>
      <c r="H249" s="139">
        <f t="shared" si="53"/>
        <v>0</v>
      </c>
      <c r="I249" s="139">
        <f t="shared" si="53"/>
        <v>0</v>
      </c>
      <c r="J249" s="139">
        <f t="shared" si="53"/>
        <v>0</v>
      </c>
      <c r="K249" s="139">
        <f t="shared" si="53"/>
        <v>0</v>
      </c>
      <c r="L249" s="140">
        <f t="shared" si="53"/>
        <v>0</v>
      </c>
    </row>
    <row r="250" spans="2:13" ht="21" outlineLevel="1" thickBot="1">
      <c r="B250" s="114" t="s">
        <v>188</v>
      </c>
      <c r="C250" s="114" t="s">
        <v>189</v>
      </c>
      <c r="D250" s="92" t="s">
        <v>195</v>
      </c>
      <c r="E250" s="250" t="s">
        <v>206</v>
      </c>
      <c r="F250" s="251"/>
      <c r="G250" s="251"/>
      <c r="H250" s="251"/>
      <c r="I250" s="251"/>
      <c r="J250" s="251"/>
      <c r="K250" s="251"/>
      <c r="L250" s="252"/>
      <c r="M250" s="134" t="s">
        <v>94</v>
      </c>
    </row>
    <row r="251" spans="2:13" ht="9.75" outlineLevel="1">
      <c r="B251" s="56" t="str">
        <f>rail1</f>
        <v>Cloudbreak to Port Dumper</v>
      </c>
      <c r="C251" s="37">
        <f aca="true" t="shared" si="54" ref="C251:C270">VLOOKUP($B251,raildata,3,FALSE)</f>
        <v>273534</v>
      </c>
      <c r="D251" s="33">
        <f aca="true" t="shared" si="55" ref="D251:D270">IF(VLOOKUP($B251,raildata,2,FALSE)="Yes",1,0)</f>
        <v>1</v>
      </c>
      <c r="E251" s="122">
        <f aca="true" t="shared" si="56" ref="E251:L260">E227*E$249*$D251*$C251</f>
        <v>10941360000000</v>
      </c>
      <c r="F251" s="124">
        <f t="shared" si="56"/>
        <v>0</v>
      </c>
      <c r="G251" s="124">
        <f t="shared" si="56"/>
        <v>0</v>
      </c>
      <c r="H251" s="124">
        <f t="shared" si="56"/>
        <v>0</v>
      </c>
      <c r="I251" s="124">
        <f t="shared" si="56"/>
        <v>0</v>
      </c>
      <c r="J251" s="124">
        <f t="shared" si="56"/>
        <v>0</v>
      </c>
      <c r="K251" s="124">
        <f t="shared" si="56"/>
        <v>0</v>
      </c>
      <c r="L251" s="125">
        <f t="shared" si="56"/>
        <v>0</v>
      </c>
      <c r="M251" s="96">
        <f aca="true" t="shared" si="57" ref="M251:M270">SUM(E251:L251)</f>
        <v>10941360000000</v>
      </c>
    </row>
    <row r="252" spans="2:13" ht="9.75" outlineLevel="1">
      <c r="B252" s="57" t="str">
        <f>rail2</f>
        <v>Route 2</v>
      </c>
      <c r="C252" s="37">
        <f t="shared" si="54"/>
        <v>0</v>
      </c>
      <c r="D252" s="33">
        <f t="shared" si="55"/>
        <v>0</v>
      </c>
      <c r="E252" s="126">
        <f t="shared" si="56"/>
        <v>0</v>
      </c>
      <c r="F252" s="123">
        <f t="shared" si="56"/>
        <v>0</v>
      </c>
      <c r="G252" s="123">
        <f t="shared" si="56"/>
        <v>0</v>
      </c>
      <c r="H252" s="123">
        <f t="shared" si="56"/>
        <v>0</v>
      </c>
      <c r="I252" s="123">
        <f t="shared" si="56"/>
        <v>0</v>
      </c>
      <c r="J252" s="123">
        <f t="shared" si="56"/>
        <v>0</v>
      </c>
      <c r="K252" s="123">
        <f t="shared" si="56"/>
        <v>0</v>
      </c>
      <c r="L252" s="127">
        <f t="shared" si="56"/>
        <v>0</v>
      </c>
      <c r="M252" s="42">
        <f t="shared" si="57"/>
        <v>0</v>
      </c>
    </row>
    <row r="253" spans="2:13" ht="9.75" outlineLevel="1">
      <c r="B253" s="57" t="str">
        <f>rail3</f>
        <v>Route 3</v>
      </c>
      <c r="C253" s="37">
        <f t="shared" si="54"/>
        <v>0</v>
      </c>
      <c r="D253" s="33">
        <f t="shared" si="55"/>
        <v>0</v>
      </c>
      <c r="E253" s="126">
        <f t="shared" si="56"/>
        <v>0</v>
      </c>
      <c r="F253" s="123">
        <f t="shared" si="56"/>
        <v>0</v>
      </c>
      <c r="G253" s="123">
        <f t="shared" si="56"/>
        <v>0</v>
      </c>
      <c r="H253" s="123">
        <f t="shared" si="56"/>
        <v>0</v>
      </c>
      <c r="I253" s="123">
        <f t="shared" si="56"/>
        <v>0</v>
      </c>
      <c r="J253" s="123">
        <f t="shared" si="56"/>
        <v>0</v>
      </c>
      <c r="K253" s="123">
        <f t="shared" si="56"/>
        <v>0</v>
      </c>
      <c r="L253" s="127">
        <f t="shared" si="56"/>
        <v>0</v>
      </c>
      <c r="M253" s="42">
        <f t="shared" si="57"/>
        <v>0</v>
      </c>
    </row>
    <row r="254" spans="2:13" ht="9.75" outlineLevel="1">
      <c r="B254" s="57" t="str">
        <f>rail4</f>
        <v>Route 4</v>
      </c>
      <c r="C254" s="37">
        <f t="shared" si="54"/>
        <v>0</v>
      </c>
      <c r="D254" s="33">
        <f t="shared" si="55"/>
        <v>0</v>
      </c>
      <c r="E254" s="126">
        <f t="shared" si="56"/>
        <v>0</v>
      </c>
      <c r="F254" s="123">
        <f t="shared" si="56"/>
        <v>0</v>
      </c>
      <c r="G254" s="123">
        <f t="shared" si="56"/>
        <v>0</v>
      </c>
      <c r="H254" s="123">
        <f t="shared" si="56"/>
        <v>0</v>
      </c>
      <c r="I254" s="123">
        <f t="shared" si="56"/>
        <v>0</v>
      </c>
      <c r="J254" s="123">
        <f t="shared" si="56"/>
        <v>0</v>
      </c>
      <c r="K254" s="123">
        <f t="shared" si="56"/>
        <v>0</v>
      </c>
      <c r="L254" s="127">
        <f t="shared" si="56"/>
        <v>0</v>
      </c>
      <c r="M254" s="42">
        <f t="shared" si="57"/>
        <v>0</v>
      </c>
    </row>
    <row r="255" spans="2:13" ht="9.75" outlineLevel="1">
      <c r="B255" s="57" t="str">
        <f>rail5</f>
        <v>Route 5</v>
      </c>
      <c r="C255" s="37">
        <f t="shared" si="54"/>
        <v>0</v>
      </c>
      <c r="D255" s="33">
        <f t="shared" si="55"/>
        <v>0</v>
      </c>
      <c r="E255" s="126">
        <f t="shared" si="56"/>
        <v>0</v>
      </c>
      <c r="F255" s="123">
        <f t="shared" si="56"/>
        <v>0</v>
      </c>
      <c r="G255" s="123">
        <f t="shared" si="56"/>
        <v>0</v>
      </c>
      <c r="H255" s="123">
        <f t="shared" si="56"/>
        <v>0</v>
      </c>
      <c r="I255" s="123">
        <f t="shared" si="56"/>
        <v>0</v>
      </c>
      <c r="J255" s="123">
        <f t="shared" si="56"/>
        <v>0</v>
      </c>
      <c r="K255" s="123">
        <f t="shared" si="56"/>
        <v>0</v>
      </c>
      <c r="L255" s="127">
        <f t="shared" si="56"/>
        <v>0</v>
      </c>
      <c r="M255" s="42">
        <f t="shared" si="57"/>
        <v>0</v>
      </c>
    </row>
    <row r="256" spans="2:13" ht="9.75" outlineLevel="1">
      <c r="B256" s="57" t="str">
        <f>rail6</f>
        <v>Route 6</v>
      </c>
      <c r="C256" s="37">
        <f t="shared" si="54"/>
        <v>0</v>
      </c>
      <c r="D256" s="33">
        <f t="shared" si="55"/>
        <v>0</v>
      </c>
      <c r="E256" s="126">
        <f t="shared" si="56"/>
        <v>0</v>
      </c>
      <c r="F256" s="123">
        <f t="shared" si="56"/>
        <v>0</v>
      </c>
      <c r="G256" s="123">
        <f t="shared" si="56"/>
        <v>0</v>
      </c>
      <c r="H256" s="123">
        <f t="shared" si="56"/>
        <v>0</v>
      </c>
      <c r="I256" s="123">
        <f t="shared" si="56"/>
        <v>0</v>
      </c>
      <c r="J256" s="123">
        <f t="shared" si="56"/>
        <v>0</v>
      </c>
      <c r="K256" s="123">
        <f t="shared" si="56"/>
        <v>0</v>
      </c>
      <c r="L256" s="127">
        <f t="shared" si="56"/>
        <v>0</v>
      </c>
      <c r="M256" s="42">
        <f t="shared" si="57"/>
        <v>0</v>
      </c>
    </row>
    <row r="257" spans="2:13" ht="9.75" outlineLevel="1">
      <c r="B257" s="57" t="str">
        <f>rail7</f>
        <v>Route 7</v>
      </c>
      <c r="C257" s="37">
        <f t="shared" si="54"/>
        <v>0</v>
      </c>
      <c r="D257" s="33">
        <f t="shared" si="55"/>
        <v>0</v>
      </c>
      <c r="E257" s="126">
        <f t="shared" si="56"/>
        <v>0</v>
      </c>
      <c r="F257" s="123">
        <f t="shared" si="56"/>
        <v>0</v>
      </c>
      <c r="G257" s="123">
        <f t="shared" si="56"/>
        <v>0</v>
      </c>
      <c r="H257" s="123">
        <f t="shared" si="56"/>
        <v>0</v>
      </c>
      <c r="I257" s="123">
        <f t="shared" si="56"/>
        <v>0</v>
      </c>
      <c r="J257" s="123">
        <f t="shared" si="56"/>
        <v>0</v>
      </c>
      <c r="K257" s="123">
        <f t="shared" si="56"/>
        <v>0</v>
      </c>
      <c r="L257" s="127">
        <f t="shared" si="56"/>
        <v>0</v>
      </c>
      <c r="M257" s="42">
        <f t="shared" si="57"/>
        <v>0</v>
      </c>
    </row>
    <row r="258" spans="2:13" ht="9.75" outlineLevel="1">
      <c r="B258" s="57" t="str">
        <f>rail8</f>
        <v>Route 8</v>
      </c>
      <c r="C258" s="37">
        <f t="shared" si="54"/>
        <v>0</v>
      </c>
      <c r="D258" s="33">
        <f t="shared" si="55"/>
        <v>0</v>
      </c>
      <c r="E258" s="126">
        <f t="shared" si="56"/>
        <v>0</v>
      </c>
      <c r="F258" s="123">
        <f t="shared" si="56"/>
        <v>0</v>
      </c>
      <c r="G258" s="123">
        <f t="shared" si="56"/>
        <v>0</v>
      </c>
      <c r="H258" s="123">
        <f t="shared" si="56"/>
        <v>0</v>
      </c>
      <c r="I258" s="123">
        <f t="shared" si="56"/>
        <v>0</v>
      </c>
      <c r="J258" s="123">
        <f t="shared" si="56"/>
        <v>0</v>
      </c>
      <c r="K258" s="123">
        <f t="shared" si="56"/>
        <v>0</v>
      </c>
      <c r="L258" s="127">
        <f t="shared" si="56"/>
        <v>0</v>
      </c>
      <c r="M258" s="42">
        <f t="shared" si="57"/>
        <v>0</v>
      </c>
    </row>
    <row r="259" spans="2:13" ht="9.75" outlineLevel="1">
      <c r="B259" s="57" t="str">
        <f>rail9</f>
        <v>Route 9</v>
      </c>
      <c r="C259" s="37">
        <f t="shared" si="54"/>
        <v>0</v>
      </c>
      <c r="D259" s="33">
        <f t="shared" si="55"/>
        <v>0</v>
      </c>
      <c r="E259" s="126">
        <f t="shared" si="56"/>
        <v>0</v>
      </c>
      <c r="F259" s="123">
        <f t="shared" si="56"/>
        <v>0</v>
      </c>
      <c r="G259" s="123">
        <f t="shared" si="56"/>
        <v>0</v>
      </c>
      <c r="H259" s="123">
        <f t="shared" si="56"/>
        <v>0</v>
      </c>
      <c r="I259" s="123">
        <f t="shared" si="56"/>
        <v>0</v>
      </c>
      <c r="J259" s="123">
        <f t="shared" si="56"/>
        <v>0</v>
      </c>
      <c r="K259" s="123">
        <f t="shared" si="56"/>
        <v>0</v>
      </c>
      <c r="L259" s="127">
        <f t="shared" si="56"/>
        <v>0</v>
      </c>
      <c r="M259" s="42">
        <f t="shared" si="57"/>
        <v>0</v>
      </c>
    </row>
    <row r="260" spans="2:13" ht="9.75" outlineLevel="1">
      <c r="B260" s="57" t="str">
        <f>rail10</f>
        <v>Route 10</v>
      </c>
      <c r="C260" s="37">
        <f t="shared" si="54"/>
        <v>0</v>
      </c>
      <c r="D260" s="33">
        <f t="shared" si="55"/>
        <v>0</v>
      </c>
      <c r="E260" s="126">
        <f t="shared" si="56"/>
        <v>0</v>
      </c>
      <c r="F260" s="123">
        <f t="shared" si="56"/>
        <v>0</v>
      </c>
      <c r="G260" s="123">
        <f t="shared" si="56"/>
        <v>0</v>
      </c>
      <c r="H260" s="123">
        <f t="shared" si="56"/>
        <v>0</v>
      </c>
      <c r="I260" s="123">
        <f t="shared" si="56"/>
        <v>0</v>
      </c>
      <c r="J260" s="123">
        <f t="shared" si="56"/>
        <v>0</v>
      </c>
      <c r="K260" s="123">
        <f t="shared" si="56"/>
        <v>0</v>
      </c>
      <c r="L260" s="127">
        <f t="shared" si="56"/>
        <v>0</v>
      </c>
      <c r="M260" s="42">
        <f t="shared" si="57"/>
        <v>0</v>
      </c>
    </row>
    <row r="261" spans="2:13" ht="9.75" outlineLevel="1">
      <c r="B261" s="57" t="str">
        <f>rail11</f>
        <v>Route 11</v>
      </c>
      <c r="C261" s="37">
        <f t="shared" si="54"/>
        <v>0</v>
      </c>
      <c r="D261" s="33">
        <f t="shared" si="55"/>
        <v>0</v>
      </c>
      <c r="E261" s="126">
        <f aca="true" t="shared" si="58" ref="E261:L270">E237*E$249*$D261*$C261</f>
        <v>0</v>
      </c>
      <c r="F261" s="123">
        <f t="shared" si="58"/>
        <v>0</v>
      </c>
      <c r="G261" s="123">
        <f t="shared" si="58"/>
        <v>0</v>
      </c>
      <c r="H261" s="123">
        <f t="shared" si="58"/>
        <v>0</v>
      </c>
      <c r="I261" s="123">
        <f t="shared" si="58"/>
        <v>0</v>
      </c>
      <c r="J261" s="123">
        <f t="shared" si="58"/>
        <v>0</v>
      </c>
      <c r="K261" s="123">
        <f t="shared" si="58"/>
        <v>0</v>
      </c>
      <c r="L261" s="127">
        <f t="shared" si="58"/>
        <v>0</v>
      </c>
      <c r="M261" s="42">
        <f t="shared" si="57"/>
        <v>0</v>
      </c>
    </row>
    <row r="262" spans="2:13" ht="9.75" outlineLevel="1">
      <c r="B262" s="57" t="str">
        <f>rail12</f>
        <v>Route 12</v>
      </c>
      <c r="C262" s="37">
        <f t="shared" si="54"/>
        <v>0</v>
      </c>
      <c r="D262" s="33">
        <f t="shared" si="55"/>
        <v>0</v>
      </c>
      <c r="E262" s="126">
        <f t="shared" si="58"/>
        <v>0</v>
      </c>
      <c r="F262" s="123">
        <f t="shared" si="58"/>
        <v>0</v>
      </c>
      <c r="G262" s="123">
        <f t="shared" si="58"/>
        <v>0</v>
      </c>
      <c r="H262" s="123">
        <f t="shared" si="58"/>
        <v>0</v>
      </c>
      <c r="I262" s="123">
        <f t="shared" si="58"/>
        <v>0</v>
      </c>
      <c r="J262" s="123">
        <f t="shared" si="58"/>
        <v>0</v>
      </c>
      <c r="K262" s="123">
        <f t="shared" si="58"/>
        <v>0</v>
      </c>
      <c r="L262" s="127">
        <f t="shared" si="58"/>
        <v>0</v>
      </c>
      <c r="M262" s="42">
        <f t="shared" si="57"/>
        <v>0</v>
      </c>
    </row>
    <row r="263" spans="2:13" ht="9.75" outlineLevel="1">
      <c r="B263" s="57" t="str">
        <f>rail13</f>
        <v>Route 13</v>
      </c>
      <c r="C263" s="37">
        <f t="shared" si="54"/>
        <v>0</v>
      </c>
      <c r="D263" s="33">
        <f t="shared" si="55"/>
        <v>0</v>
      </c>
      <c r="E263" s="126">
        <f t="shared" si="58"/>
        <v>0</v>
      </c>
      <c r="F263" s="123">
        <f t="shared" si="58"/>
        <v>0</v>
      </c>
      <c r="G263" s="123">
        <f t="shared" si="58"/>
        <v>0</v>
      </c>
      <c r="H263" s="123">
        <f t="shared" si="58"/>
        <v>0</v>
      </c>
      <c r="I263" s="123">
        <f t="shared" si="58"/>
        <v>0</v>
      </c>
      <c r="J263" s="123">
        <f t="shared" si="58"/>
        <v>0</v>
      </c>
      <c r="K263" s="123">
        <f t="shared" si="58"/>
        <v>0</v>
      </c>
      <c r="L263" s="127">
        <f t="shared" si="58"/>
        <v>0</v>
      </c>
      <c r="M263" s="42">
        <f t="shared" si="57"/>
        <v>0</v>
      </c>
    </row>
    <row r="264" spans="2:13" ht="9.75" outlineLevel="1">
      <c r="B264" s="57" t="str">
        <f>rail14</f>
        <v>Route 14</v>
      </c>
      <c r="C264" s="37">
        <f t="shared" si="54"/>
        <v>0</v>
      </c>
      <c r="D264" s="33">
        <f t="shared" si="55"/>
        <v>0</v>
      </c>
      <c r="E264" s="126">
        <f t="shared" si="58"/>
        <v>0</v>
      </c>
      <c r="F264" s="123">
        <f t="shared" si="58"/>
        <v>0</v>
      </c>
      <c r="G264" s="123">
        <f t="shared" si="58"/>
        <v>0</v>
      </c>
      <c r="H264" s="123">
        <f t="shared" si="58"/>
        <v>0</v>
      </c>
      <c r="I264" s="123">
        <f t="shared" si="58"/>
        <v>0</v>
      </c>
      <c r="J264" s="123">
        <f t="shared" si="58"/>
        <v>0</v>
      </c>
      <c r="K264" s="123">
        <f t="shared" si="58"/>
        <v>0</v>
      </c>
      <c r="L264" s="127">
        <f t="shared" si="58"/>
        <v>0</v>
      </c>
      <c r="M264" s="42">
        <f t="shared" si="57"/>
        <v>0</v>
      </c>
    </row>
    <row r="265" spans="2:13" ht="9.75" outlineLevel="1">
      <c r="B265" s="57" t="str">
        <f>rail15</f>
        <v>Route 15</v>
      </c>
      <c r="C265" s="37">
        <f t="shared" si="54"/>
        <v>0</v>
      </c>
      <c r="D265" s="33">
        <f t="shared" si="55"/>
        <v>0</v>
      </c>
      <c r="E265" s="126">
        <f t="shared" si="58"/>
        <v>0</v>
      </c>
      <c r="F265" s="123">
        <f t="shared" si="58"/>
        <v>0</v>
      </c>
      <c r="G265" s="123">
        <f t="shared" si="58"/>
        <v>0</v>
      </c>
      <c r="H265" s="123">
        <f t="shared" si="58"/>
        <v>0</v>
      </c>
      <c r="I265" s="123">
        <f t="shared" si="58"/>
        <v>0</v>
      </c>
      <c r="J265" s="123">
        <f t="shared" si="58"/>
        <v>0</v>
      </c>
      <c r="K265" s="123">
        <f t="shared" si="58"/>
        <v>0</v>
      </c>
      <c r="L265" s="127">
        <f t="shared" si="58"/>
        <v>0</v>
      </c>
      <c r="M265" s="42">
        <f t="shared" si="57"/>
        <v>0</v>
      </c>
    </row>
    <row r="266" spans="2:13" ht="9.75" outlineLevel="1">
      <c r="B266" s="57" t="str">
        <f>rail16</f>
        <v>Route 16</v>
      </c>
      <c r="C266" s="37">
        <f t="shared" si="54"/>
        <v>0</v>
      </c>
      <c r="D266" s="33">
        <f t="shared" si="55"/>
        <v>0</v>
      </c>
      <c r="E266" s="126">
        <f t="shared" si="58"/>
        <v>0</v>
      </c>
      <c r="F266" s="123">
        <f t="shared" si="58"/>
        <v>0</v>
      </c>
      <c r="G266" s="123">
        <f t="shared" si="58"/>
        <v>0</v>
      </c>
      <c r="H266" s="123">
        <f t="shared" si="58"/>
        <v>0</v>
      </c>
      <c r="I266" s="123">
        <f t="shared" si="58"/>
        <v>0</v>
      </c>
      <c r="J266" s="123">
        <f t="shared" si="58"/>
        <v>0</v>
      </c>
      <c r="K266" s="123">
        <f t="shared" si="58"/>
        <v>0</v>
      </c>
      <c r="L266" s="127">
        <f t="shared" si="58"/>
        <v>0</v>
      </c>
      <c r="M266" s="42">
        <f t="shared" si="57"/>
        <v>0</v>
      </c>
    </row>
    <row r="267" spans="2:13" ht="9.75" outlineLevel="1">
      <c r="B267" s="57" t="str">
        <f>rail17</f>
        <v>Route 17</v>
      </c>
      <c r="C267" s="37">
        <f t="shared" si="54"/>
        <v>0</v>
      </c>
      <c r="D267" s="33">
        <f t="shared" si="55"/>
        <v>0</v>
      </c>
      <c r="E267" s="126">
        <f t="shared" si="58"/>
        <v>0</v>
      </c>
      <c r="F267" s="123">
        <f t="shared" si="58"/>
        <v>0</v>
      </c>
      <c r="G267" s="123">
        <f t="shared" si="58"/>
        <v>0</v>
      </c>
      <c r="H267" s="123">
        <f t="shared" si="58"/>
        <v>0</v>
      </c>
      <c r="I267" s="123">
        <f t="shared" si="58"/>
        <v>0</v>
      </c>
      <c r="J267" s="123">
        <f t="shared" si="58"/>
        <v>0</v>
      </c>
      <c r="K267" s="123">
        <f t="shared" si="58"/>
        <v>0</v>
      </c>
      <c r="L267" s="127">
        <f t="shared" si="58"/>
        <v>0</v>
      </c>
      <c r="M267" s="42">
        <f t="shared" si="57"/>
        <v>0</v>
      </c>
    </row>
    <row r="268" spans="2:13" ht="9.75" outlineLevel="1">
      <c r="B268" s="57" t="str">
        <f>rail18</f>
        <v>Route 18</v>
      </c>
      <c r="C268" s="37">
        <f t="shared" si="54"/>
        <v>0</v>
      </c>
      <c r="D268" s="33">
        <f t="shared" si="55"/>
        <v>0</v>
      </c>
      <c r="E268" s="126">
        <f t="shared" si="58"/>
        <v>0</v>
      </c>
      <c r="F268" s="123">
        <f t="shared" si="58"/>
        <v>0</v>
      </c>
      <c r="G268" s="123">
        <f t="shared" si="58"/>
        <v>0</v>
      </c>
      <c r="H268" s="123">
        <f t="shared" si="58"/>
        <v>0</v>
      </c>
      <c r="I268" s="123">
        <f t="shared" si="58"/>
        <v>0</v>
      </c>
      <c r="J268" s="123">
        <f t="shared" si="58"/>
        <v>0</v>
      </c>
      <c r="K268" s="123">
        <f t="shared" si="58"/>
        <v>0</v>
      </c>
      <c r="L268" s="127">
        <f t="shared" si="58"/>
        <v>0</v>
      </c>
      <c r="M268" s="42">
        <f t="shared" si="57"/>
        <v>0</v>
      </c>
    </row>
    <row r="269" spans="2:13" ht="9.75" outlineLevel="1">
      <c r="B269" s="57" t="str">
        <f>rail19</f>
        <v>Route 19</v>
      </c>
      <c r="C269" s="37">
        <f t="shared" si="54"/>
        <v>0</v>
      </c>
      <c r="D269" s="33">
        <f t="shared" si="55"/>
        <v>0</v>
      </c>
      <c r="E269" s="126">
        <f t="shared" si="58"/>
        <v>0</v>
      </c>
      <c r="F269" s="123">
        <f t="shared" si="58"/>
        <v>0</v>
      </c>
      <c r="G269" s="123">
        <f t="shared" si="58"/>
        <v>0</v>
      </c>
      <c r="H269" s="123">
        <f t="shared" si="58"/>
        <v>0</v>
      </c>
      <c r="I269" s="123">
        <f t="shared" si="58"/>
        <v>0</v>
      </c>
      <c r="J269" s="123">
        <f t="shared" si="58"/>
        <v>0</v>
      </c>
      <c r="K269" s="123">
        <f t="shared" si="58"/>
        <v>0</v>
      </c>
      <c r="L269" s="127">
        <f t="shared" si="58"/>
        <v>0</v>
      </c>
      <c r="M269" s="42">
        <f t="shared" si="57"/>
        <v>0</v>
      </c>
    </row>
    <row r="270" spans="2:13" ht="10.5" outlineLevel="1" thickBot="1">
      <c r="B270" s="57" t="str">
        <f>rail20</f>
        <v>Route 20</v>
      </c>
      <c r="C270" s="37">
        <f t="shared" si="54"/>
        <v>0</v>
      </c>
      <c r="D270" s="33">
        <f t="shared" si="55"/>
        <v>0</v>
      </c>
      <c r="E270" s="128">
        <f t="shared" si="58"/>
        <v>0</v>
      </c>
      <c r="F270" s="129">
        <f t="shared" si="58"/>
        <v>0</v>
      </c>
      <c r="G270" s="129">
        <f t="shared" si="58"/>
        <v>0</v>
      </c>
      <c r="H270" s="129">
        <f t="shared" si="58"/>
        <v>0</v>
      </c>
      <c r="I270" s="129">
        <f t="shared" si="58"/>
        <v>0</v>
      </c>
      <c r="J270" s="129">
        <f t="shared" si="58"/>
        <v>0</v>
      </c>
      <c r="K270" s="129">
        <f t="shared" si="58"/>
        <v>0</v>
      </c>
      <c r="L270" s="130">
        <f t="shared" si="58"/>
        <v>0</v>
      </c>
      <c r="M270" s="98">
        <f t="shared" si="57"/>
        <v>0</v>
      </c>
    </row>
    <row r="271" spans="2:13" ht="10.5" outlineLevel="1" thickBot="1">
      <c r="B271" s="50" t="s">
        <v>645</v>
      </c>
      <c r="C271" s="115">
        <f aca="true" t="shared" si="59" ref="C271:M271">SUM(C251:C270)</f>
        <v>273534</v>
      </c>
      <c r="D271" s="64">
        <f t="shared" si="59"/>
        <v>1</v>
      </c>
      <c r="E271" s="131">
        <f t="shared" si="59"/>
        <v>10941360000000</v>
      </c>
      <c r="F271" s="132">
        <f t="shared" si="59"/>
        <v>0</v>
      </c>
      <c r="G271" s="132">
        <f t="shared" si="59"/>
        <v>0</v>
      </c>
      <c r="H271" s="132">
        <f t="shared" si="59"/>
        <v>0</v>
      </c>
      <c r="I271" s="132">
        <f t="shared" si="59"/>
        <v>0</v>
      </c>
      <c r="J271" s="132">
        <f t="shared" si="59"/>
        <v>0</v>
      </c>
      <c r="K271" s="132">
        <f t="shared" si="59"/>
        <v>0</v>
      </c>
      <c r="L271" s="62">
        <f t="shared" si="59"/>
        <v>0</v>
      </c>
      <c r="M271" s="106">
        <f t="shared" si="59"/>
        <v>10941360000000</v>
      </c>
    </row>
    <row r="272" ht="9.75" outlineLevel="1"/>
    <row r="273" spans="2:10" ht="10.5" outlineLevel="1" thickBot="1">
      <c r="B273" s="1" t="str">
        <f>"Inflation Calculation @ "&amp;inflation*100&amp;"%"</f>
        <v>Inflation Calculation @ 3%</v>
      </c>
      <c r="E273" s="113">
        <f>1</f>
        <v>1</v>
      </c>
      <c r="F273" s="113">
        <f>E273*(1+inflation)</f>
        <v>1.03</v>
      </c>
      <c r="G273" s="113">
        <f>F273*(1+inflation)</f>
        <v>1.0609</v>
      </c>
      <c r="H273" s="113">
        <f>G273*(1+inflation)</f>
        <v>1.092727</v>
      </c>
      <c r="I273" s="113">
        <f>H273*(1+inflation)</f>
        <v>1.1255088100000001</v>
      </c>
      <c r="J273" s="113">
        <f>I273*(1+inflation)</f>
        <v>1.1592740743</v>
      </c>
    </row>
    <row r="274" spans="2:10" ht="10.5" outlineLevel="1" thickBot="1">
      <c r="B274" s="114" t="s">
        <v>188</v>
      </c>
      <c r="C274" s="114" t="s">
        <v>189</v>
      </c>
      <c r="D274" s="93" t="s">
        <v>196</v>
      </c>
      <c r="E274" s="116" t="s">
        <v>38</v>
      </c>
      <c r="F274" s="116" t="s">
        <v>39</v>
      </c>
      <c r="G274" s="116" t="s">
        <v>40</v>
      </c>
      <c r="H274" s="116" t="s">
        <v>41</v>
      </c>
      <c r="I274" s="116" t="s">
        <v>42</v>
      </c>
      <c r="J274" s="117" t="s">
        <v>43</v>
      </c>
    </row>
    <row r="275" spans="2:10" ht="9.75" outlineLevel="1">
      <c r="B275" s="56" t="str">
        <f>rail1</f>
        <v>Cloudbreak to Port Dumper</v>
      </c>
      <c r="C275" s="8">
        <f aca="true" t="shared" si="60" ref="C275:C294">VLOOKUP($B275,raildata,3,FALSE)</f>
        <v>273534</v>
      </c>
      <c r="D275" s="6">
        <f aca="true" t="shared" si="61" ref="D275:D294">IF(VLOOKUP($B275,raildata,2,FALSE)="Yes",1,0)</f>
        <v>1</v>
      </c>
      <c r="E275" s="103">
        <f aca="true" t="shared" si="62" ref="E275:J284">$E$48*E$273*$M251/$M$271*$D275</f>
        <v>0</v>
      </c>
      <c r="F275" s="95">
        <f t="shared" si="62"/>
        <v>0</v>
      </c>
      <c r="G275" s="95">
        <f t="shared" si="62"/>
        <v>0</v>
      </c>
      <c r="H275" s="95">
        <f t="shared" si="62"/>
        <v>0</v>
      </c>
      <c r="I275" s="95">
        <f t="shared" si="62"/>
        <v>0</v>
      </c>
      <c r="J275" s="120">
        <f t="shared" si="62"/>
        <v>0</v>
      </c>
    </row>
    <row r="276" spans="2:10" ht="9.75" outlineLevel="1">
      <c r="B276" s="57" t="str">
        <f>rail2</f>
        <v>Route 2</v>
      </c>
      <c r="C276" s="8">
        <f t="shared" si="60"/>
        <v>0</v>
      </c>
      <c r="D276" s="6">
        <f t="shared" si="61"/>
        <v>0</v>
      </c>
      <c r="E276" s="37">
        <f t="shared" si="62"/>
        <v>0</v>
      </c>
      <c r="F276" s="29">
        <f t="shared" si="62"/>
        <v>0</v>
      </c>
      <c r="G276" s="29">
        <f t="shared" si="62"/>
        <v>0</v>
      </c>
      <c r="H276" s="29">
        <f t="shared" si="62"/>
        <v>0</v>
      </c>
      <c r="I276" s="29">
        <f t="shared" si="62"/>
        <v>0</v>
      </c>
      <c r="J276" s="41">
        <f t="shared" si="62"/>
        <v>0</v>
      </c>
    </row>
    <row r="277" spans="2:10" ht="9.75" outlineLevel="1">
      <c r="B277" s="57" t="str">
        <f>rail3</f>
        <v>Route 3</v>
      </c>
      <c r="C277" s="8">
        <f t="shared" si="60"/>
        <v>0</v>
      </c>
      <c r="D277" s="6">
        <f t="shared" si="61"/>
        <v>0</v>
      </c>
      <c r="E277" s="37">
        <f t="shared" si="62"/>
        <v>0</v>
      </c>
      <c r="F277" s="29">
        <f t="shared" si="62"/>
        <v>0</v>
      </c>
      <c r="G277" s="29">
        <f t="shared" si="62"/>
        <v>0</v>
      </c>
      <c r="H277" s="29">
        <f t="shared" si="62"/>
        <v>0</v>
      </c>
      <c r="I277" s="29">
        <f t="shared" si="62"/>
        <v>0</v>
      </c>
      <c r="J277" s="41">
        <f t="shared" si="62"/>
        <v>0</v>
      </c>
    </row>
    <row r="278" spans="2:10" ht="9.75" outlineLevel="1">
      <c r="B278" s="57" t="str">
        <f>rail4</f>
        <v>Route 4</v>
      </c>
      <c r="C278" s="8">
        <f t="shared" si="60"/>
        <v>0</v>
      </c>
      <c r="D278" s="6">
        <f t="shared" si="61"/>
        <v>0</v>
      </c>
      <c r="E278" s="37">
        <f t="shared" si="62"/>
        <v>0</v>
      </c>
      <c r="F278" s="29">
        <f t="shared" si="62"/>
        <v>0</v>
      </c>
      <c r="G278" s="29">
        <f t="shared" si="62"/>
        <v>0</v>
      </c>
      <c r="H278" s="29">
        <f t="shared" si="62"/>
        <v>0</v>
      </c>
      <c r="I278" s="29">
        <f t="shared" si="62"/>
        <v>0</v>
      </c>
      <c r="J278" s="41">
        <f t="shared" si="62"/>
        <v>0</v>
      </c>
    </row>
    <row r="279" spans="2:10" ht="9.75" outlineLevel="1">
      <c r="B279" s="57" t="str">
        <f>rail5</f>
        <v>Route 5</v>
      </c>
      <c r="C279" s="8">
        <f t="shared" si="60"/>
        <v>0</v>
      </c>
      <c r="D279" s="6">
        <f t="shared" si="61"/>
        <v>0</v>
      </c>
      <c r="E279" s="37">
        <f t="shared" si="62"/>
        <v>0</v>
      </c>
      <c r="F279" s="29">
        <f t="shared" si="62"/>
        <v>0</v>
      </c>
      <c r="G279" s="29">
        <f t="shared" si="62"/>
        <v>0</v>
      </c>
      <c r="H279" s="29">
        <f t="shared" si="62"/>
        <v>0</v>
      </c>
      <c r="I279" s="29">
        <f t="shared" si="62"/>
        <v>0</v>
      </c>
      <c r="J279" s="41">
        <f t="shared" si="62"/>
        <v>0</v>
      </c>
    </row>
    <row r="280" spans="2:10" ht="9.75" outlineLevel="1">
      <c r="B280" s="57" t="str">
        <f>rail6</f>
        <v>Route 6</v>
      </c>
      <c r="C280" s="8">
        <f t="shared" si="60"/>
        <v>0</v>
      </c>
      <c r="D280" s="6">
        <f t="shared" si="61"/>
        <v>0</v>
      </c>
      <c r="E280" s="37">
        <f t="shared" si="62"/>
        <v>0</v>
      </c>
      <c r="F280" s="29">
        <f t="shared" si="62"/>
        <v>0</v>
      </c>
      <c r="G280" s="29">
        <f t="shared" si="62"/>
        <v>0</v>
      </c>
      <c r="H280" s="29">
        <f t="shared" si="62"/>
        <v>0</v>
      </c>
      <c r="I280" s="29">
        <f t="shared" si="62"/>
        <v>0</v>
      </c>
      <c r="J280" s="41">
        <f t="shared" si="62"/>
        <v>0</v>
      </c>
    </row>
    <row r="281" spans="2:10" ht="9.75" outlineLevel="1">
      <c r="B281" s="57" t="str">
        <f>rail7</f>
        <v>Route 7</v>
      </c>
      <c r="C281" s="8">
        <f t="shared" si="60"/>
        <v>0</v>
      </c>
      <c r="D281" s="6">
        <f t="shared" si="61"/>
        <v>0</v>
      </c>
      <c r="E281" s="37">
        <f t="shared" si="62"/>
        <v>0</v>
      </c>
      <c r="F281" s="29">
        <f t="shared" si="62"/>
        <v>0</v>
      </c>
      <c r="G281" s="29">
        <f t="shared" si="62"/>
        <v>0</v>
      </c>
      <c r="H281" s="29">
        <f t="shared" si="62"/>
        <v>0</v>
      </c>
      <c r="I281" s="29">
        <f t="shared" si="62"/>
        <v>0</v>
      </c>
      <c r="J281" s="41">
        <f t="shared" si="62"/>
        <v>0</v>
      </c>
    </row>
    <row r="282" spans="2:10" ht="9.75" outlineLevel="1">
      <c r="B282" s="57" t="str">
        <f>rail8</f>
        <v>Route 8</v>
      </c>
      <c r="C282" s="8">
        <f t="shared" si="60"/>
        <v>0</v>
      </c>
      <c r="D282" s="6">
        <f t="shared" si="61"/>
        <v>0</v>
      </c>
      <c r="E282" s="37">
        <f t="shared" si="62"/>
        <v>0</v>
      </c>
      <c r="F282" s="29">
        <f t="shared" si="62"/>
        <v>0</v>
      </c>
      <c r="G282" s="29">
        <f t="shared" si="62"/>
        <v>0</v>
      </c>
      <c r="H282" s="29">
        <f t="shared" si="62"/>
        <v>0</v>
      </c>
      <c r="I282" s="29">
        <f t="shared" si="62"/>
        <v>0</v>
      </c>
      <c r="J282" s="41">
        <f t="shared" si="62"/>
        <v>0</v>
      </c>
    </row>
    <row r="283" spans="2:10" ht="9.75" outlineLevel="1">
      <c r="B283" s="57" t="str">
        <f>rail9</f>
        <v>Route 9</v>
      </c>
      <c r="C283" s="8">
        <f t="shared" si="60"/>
        <v>0</v>
      </c>
      <c r="D283" s="6">
        <f t="shared" si="61"/>
        <v>0</v>
      </c>
      <c r="E283" s="37">
        <f t="shared" si="62"/>
        <v>0</v>
      </c>
      <c r="F283" s="29">
        <f t="shared" si="62"/>
        <v>0</v>
      </c>
      <c r="G283" s="29">
        <f t="shared" si="62"/>
        <v>0</v>
      </c>
      <c r="H283" s="29">
        <f t="shared" si="62"/>
        <v>0</v>
      </c>
      <c r="I283" s="29">
        <f t="shared" si="62"/>
        <v>0</v>
      </c>
      <c r="J283" s="41">
        <f t="shared" si="62"/>
        <v>0</v>
      </c>
    </row>
    <row r="284" spans="2:10" ht="9.75" outlineLevel="1">
      <c r="B284" s="57" t="str">
        <f>rail10</f>
        <v>Route 10</v>
      </c>
      <c r="C284" s="8">
        <f t="shared" si="60"/>
        <v>0</v>
      </c>
      <c r="D284" s="6">
        <f t="shared" si="61"/>
        <v>0</v>
      </c>
      <c r="E284" s="37">
        <f t="shared" si="62"/>
        <v>0</v>
      </c>
      <c r="F284" s="29">
        <f t="shared" si="62"/>
        <v>0</v>
      </c>
      <c r="G284" s="29">
        <f t="shared" si="62"/>
        <v>0</v>
      </c>
      <c r="H284" s="29">
        <f t="shared" si="62"/>
        <v>0</v>
      </c>
      <c r="I284" s="29">
        <f t="shared" si="62"/>
        <v>0</v>
      </c>
      <c r="J284" s="41">
        <f t="shared" si="62"/>
        <v>0</v>
      </c>
    </row>
    <row r="285" spans="2:10" ht="9.75" outlineLevel="1">
      <c r="B285" s="57" t="str">
        <f>rail11</f>
        <v>Route 11</v>
      </c>
      <c r="C285" s="8">
        <f t="shared" si="60"/>
        <v>0</v>
      </c>
      <c r="D285" s="6">
        <f t="shared" si="61"/>
        <v>0</v>
      </c>
      <c r="E285" s="37">
        <f aca="true" t="shared" si="63" ref="E285:J294">$E$48*E$273*$M261/$M$271*$D285</f>
        <v>0</v>
      </c>
      <c r="F285" s="29">
        <f t="shared" si="63"/>
        <v>0</v>
      </c>
      <c r="G285" s="29">
        <f t="shared" si="63"/>
        <v>0</v>
      </c>
      <c r="H285" s="29">
        <f t="shared" si="63"/>
        <v>0</v>
      </c>
      <c r="I285" s="29">
        <f t="shared" si="63"/>
        <v>0</v>
      </c>
      <c r="J285" s="41">
        <f t="shared" si="63"/>
        <v>0</v>
      </c>
    </row>
    <row r="286" spans="2:10" ht="9.75" outlineLevel="1">
      <c r="B286" s="57" t="str">
        <f>rail12</f>
        <v>Route 12</v>
      </c>
      <c r="C286" s="8">
        <f t="shared" si="60"/>
        <v>0</v>
      </c>
      <c r="D286" s="6">
        <f t="shared" si="61"/>
        <v>0</v>
      </c>
      <c r="E286" s="37">
        <f t="shared" si="63"/>
        <v>0</v>
      </c>
      <c r="F286" s="29">
        <f t="shared" si="63"/>
        <v>0</v>
      </c>
      <c r="G286" s="29">
        <f t="shared" si="63"/>
        <v>0</v>
      </c>
      <c r="H286" s="29">
        <f t="shared" si="63"/>
        <v>0</v>
      </c>
      <c r="I286" s="29">
        <f t="shared" si="63"/>
        <v>0</v>
      </c>
      <c r="J286" s="41">
        <f t="shared" si="63"/>
        <v>0</v>
      </c>
    </row>
    <row r="287" spans="2:10" ht="9.75" outlineLevel="1">
      <c r="B287" s="57" t="str">
        <f>rail13</f>
        <v>Route 13</v>
      </c>
      <c r="C287" s="8">
        <f t="shared" si="60"/>
        <v>0</v>
      </c>
      <c r="D287" s="6">
        <f t="shared" si="61"/>
        <v>0</v>
      </c>
      <c r="E287" s="37">
        <f t="shared" si="63"/>
        <v>0</v>
      </c>
      <c r="F287" s="29">
        <f t="shared" si="63"/>
        <v>0</v>
      </c>
      <c r="G287" s="29">
        <f t="shared" si="63"/>
        <v>0</v>
      </c>
      <c r="H287" s="29">
        <f t="shared" si="63"/>
        <v>0</v>
      </c>
      <c r="I287" s="29">
        <f t="shared" si="63"/>
        <v>0</v>
      </c>
      <c r="J287" s="41">
        <f t="shared" si="63"/>
        <v>0</v>
      </c>
    </row>
    <row r="288" spans="2:10" ht="9.75" outlineLevel="1">
      <c r="B288" s="57" t="str">
        <f>rail14</f>
        <v>Route 14</v>
      </c>
      <c r="C288" s="8">
        <f t="shared" si="60"/>
        <v>0</v>
      </c>
      <c r="D288" s="6">
        <f t="shared" si="61"/>
        <v>0</v>
      </c>
      <c r="E288" s="37">
        <f t="shared" si="63"/>
        <v>0</v>
      </c>
      <c r="F288" s="29">
        <f t="shared" si="63"/>
        <v>0</v>
      </c>
      <c r="G288" s="29">
        <f t="shared" si="63"/>
        <v>0</v>
      </c>
      <c r="H288" s="29">
        <f t="shared" si="63"/>
        <v>0</v>
      </c>
      <c r="I288" s="29">
        <f t="shared" si="63"/>
        <v>0</v>
      </c>
      <c r="J288" s="41">
        <f t="shared" si="63"/>
        <v>0</v>
      </c>
    </row>
    <row r="289" spans="2:10" ht="9.75" outlineLevel="1">
      <c r="B289" s="57" t="str">
        <f>rail15</f>
        <v>Route 15</v>
      </c>
      <c r="C289" s="8">
        <f t="shared" si="60"/>
        <v>0</v>
      </c>
      <c r="D289" s="6">
        <f t="shared" si="61"/>
        <v>0</v>
      </c>
      <c r="E289" s="37">
        <f t="shared" si="63"/>
        <v>0</v>
      </c>
      <c r="F289" s="29">
        <f t="shared" si="63"/>
        <v>0</v>
      </c>
      <c r="G289" s="29">
        <f t="shared" si="63"/>
        <v>0</v>
      </c>
      <c r="H289" s="29">
        <f t="shared" si="63"/>
        <v>0</v>
      </c>
      <c r="I289" s="29">
        <f t="shared" si="63"/>
        <v>0</v>
      </c>
      <c r="J289" s="41">
        <f t="shared" si="63"/>
        <v>0</v>
      </c>
    </row>
    <row r="290" spans="2:10" ht="9.75" outlineLevel="1">
      <c r="B290" s="57" t="str">
        <f>rail16</f>
        <v>Route 16</v>
      </c>
      <c r="C290" s="8">
        <f t="shared" si="60"/>
        <v>0</v>
      </c>
      <c r="D290" s="6">
        <f t="shared" si="61"/>
        <v>0</v>
      </c>
      <c r="E290" s="37">
        <f t="shared" si="63"/>
        <v>0</v>
      </c>
      <c r="F290" s="29">
        <f t="shared" si="63"/>
        <v>0</v>
      </c>
      <c r="G290" s="29">
        <f t="shared" si="63"/>
        <v>0</v>
      </c>
      <c r="H290" s="29">
        <f t="shared" si="63"/>
        <v>0</v>
      </c>
      <c r="I290" s="29">
        <f t="shared" si="63"/>
        <v>0</v>
      </c>
      <c r="J290" s="41">
        <f t="shared" si="63"/>
        <v>0</v>
      </c>
    </row>
    <row r="291" spans="2:10" ht="9.75" outlineLevel="1">
      <c r="B291" s="57" t="str">
        <f>rail17</f>
        <v>Route 17</v>
      </c>
      <c r="C291" s="8">
        <f t="shared" si="60"/>
        <v>0</v>
      </c>
      <c r="D291" s="6">
        <f t="shared" si="61"/>
        <v>0</v>
      </c>
      <c r="E291" s="37">
        <f t="shared" si="63"/>
        <v>0</v>
      </c>
      <c r="F291" s="29">
        <f t="shared" si="63"/>
        <v>0</v>
      </c>
      <c r="G291" s="29">
        <f t="shared" si="63"/>
        <v>0</v>
      </c>
      <c r="H291" s="29">
        <f t="shared" si="63"/>
        <v>0</v>
      </c>
      <c r="I291" s="29">
        <f t="shared" si="63"/>
        <v>0</v>
      </c>
      <c r="J291" s="41">
        <f t="shared" si="63"/>
        <v>0</v>
      </c>
    </row>
    <row r="292" spans="2:10" ht="9.75" outlineLevel="1">
      <c r="B292" s="57" t="str">
        <f>rail18</f>
        <v>Route 18</v>
      </c>
      <c r="C292" s="8">
        <f t="shared" si="60"/>
        <v>0</v>
      </c>
      <c r="D292" s="6">
        <f t="shared" si="61"/>
        <v>0</v>
      </c>
      <c r="E292" s="37">
        <f t="shared" si="63"/>
        <v>0</v>
      </c>
      <c r="F292" s="29">
        <f t="shared" si="63"/>
        <v>0</v>
      </c>
      <c r="G292" s="29">
        <f t="shared" si="63"/>
        <v>0</v>
      </c>
      <c r="H292" s="29">
        <f t="shared" si="63"/>
        <v>0</v>
      </c>
      <c r="I292" s="29">
        <f t="shared" si="63"/>
        <v>0</v>
      </c>
      <c r="J292" s="41">
        <f t="shared" si="63"/>
        <v>0</v>
      </c>
    </row>
    <row r="293" spans="2:10" ht="9.75" outlineLevel="1">
      <c r="B293" s="57" t="str">
        <f>rail19</f>
        <v>Route 19</v>
      </c>
      <c r="C293" s="8">
        <f t="shared" si="60"/>
        <v>0</v>
      </c>
      <c r="D293" s="6">
        <f t="shared" si="61"/>
        <v>0</v>
      </c>
      <c r="E293" s="37">
        <f t="shared" si="63"/>
        <v>0</v>
      </c>
      <c r="F293" s="29">
        <f t="shared" si="63"/>
        <v>0</v>
      </c>
      <c r="G293" s="29">
        <f t="shared" si="63"/>
        <v>0</v>
      </c>
      <c r="H293" s="29">
        <f t="shared" si="63"/>
        <v>0</v>
      </c>
      <c r="I293" s="29">
        <f t="shared" si="63"/>
        <v>0</v>
      </c>
      <c r="J293" s="41">
        <f t="shared" si="63"/>
        <v>0</v>
      </c>
    </row>
    <row r="294" spans="2:10" ht="10.5" outlineLevel="1" thickBot="1">
      <c r="B294" s="57" t="str">
        <f>rail20</f>
        <v>Route 20</v>
      </c>
      <c r="C294" s="8">
        <f t="shared" si="60"/>
        <v>0</v>
      </c>
      <c r="D294" s="6">
        <f t="shared" si="61"/>
        <v>0</v>
      </c>
      <c r="E294" s="101">
        <f t="shared" si="63"/>
        <v>0</v>
      </c>
      <c r="F294" s="97">
        <f t="shared" si="63"/>
        <v>0</v>
      </c>
      <c r="G294" s="97">
        <f t="shared" si="63"/>
        <v>0</v>
      </c>
      <c r="H294" s="97">
        <f t="shared" si="63"/>
        <v>0</v>
      </c>
      <c r="I294" s="97">
        <f t="shared" si="63"/>
        <v>0</v>
      </c>
      <c r="J294" s="102">
        <f t="shared" si="63"/>
        <v>0</v>
      </c>
    </row>
    <row r="295" spans="2:10" ht="10.5" outlineLevel="1" thickBot="1">
      <c r="B295" s="50" t="s">
        <v>645</v>
      </c>
      <c r="C295" s="115">
        <f aca="true" t="shared" si="64" ref="C295:J295">SUM(C275:C294)</f>
        <v>273534</v>
      </c>
      <c r="D295" s="64">
        <f t="shared" si="64"/>
        <v>1</v>
      </c>
      <c r="E295" s="118">
        <f t="shared" si="64"/>
        <v>0</v>
      </c>
      <c r="F295" s="119">
        <f t="shared" si="64"/>
        <v>0</v>
      </c>
      <c r="G295" s="119">
        <f t="shared" si="64"/>
        <v>0</v>
      </c>
      <c r="H295" s="119">
        <f t="shared" si="64"/>
        <v>0</v>
      </c>
      <c r="I295" s="119">
        <f t="shared" si="64"/>
        <v>0</v>
      </c>
      <c r="J295" s="98">
        <f t="shared" si="64"/>
        <v>0</v>
      </c>
    </row>
    <row r="296" spans="2:10" ht="9.75" outlineLevel="1">
      <c r="B296" s="1" t="s">
        <v>190</v>
      </c>
      <c r="C296" s="6" t="str">
        <f>IF(C295=raillength,"Ok","Error")</f>
        <v>Ok</v>
      </c>
      <c r="D296" s="6" t="str">
        <f>IF(D295=railsegments,"Ok","Error")</f>
        <v>Ok</v>
      </c>
      <c r="E296" s="6" t="str">
        <f aca="true" t="shared" si="65" ref="E296:J296">IF(E$295=$E$48*E$273,"Ok","Error")</f>
        <v>Ok</v>
      </c>
      <c r="F296" s="6" t="str">
        <f t="shared" si="65"/>
        <v>Ok</v>
      </c>
      <c r="G296" s="6" t="str">
        <f t="shared" si="65"/>
        <v>Ok</v>
      </c>
      <c r="H296" s="6" t="str">
        <f t="shared" si="65"/>
        <v>Ok</v>
      </c>
      <c r="I296" s="6" t="str">
        <f t="shared" si="65"/>
        <v>Ok</v>
      </c>
      <c r="J296" s="6" t="str">
        <f t="shared" si="65"/>
        <v>Ok</v>
      </c>
    </row>
    <row r="297" spans="2:3" ht="9.75" outlineLevel="1">
      <c r="B297" s="2" t="s">
        <v>191</v>
      </c>
      <c r="C297" s="9" t="str">
        <f>IF(COUNTIF(C296:J296,"Error")&gt;0,"Error","All Ok")</f>
        <v>All Ok</v>
      </c>
    </row>
    <row r="298" ht="9.75" outlineLevel="1"/>
  </sheetData>
  <sheetProtection sheet="1"/>
  <mergeCells count="5">
    <mergeCell ref="E250:L250"/>
    <mergeCell ref="E85:L85"/>
    <mergeCell ref="E109:L109"/>
    <mergeCell ref="D191:J192"/>
    <mergeCell ref="E226:L226"/>
  </mergeCells>
  <conditionalFormatting sqref="A1">
    <cfRule type="cellIs" priority="1" dxfId="3" operator="equal" stopIfTrue="1">
      <formula>"All Ok"</formula>
    </cfRule>
    <cfRule type="cellIs" priority="2" dxfId="2" operator="notEqual" stopIfTrue="1">
      <formula>"All Ok"</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33" r:id="rId1"/>
  <headerFooter alignWithMargins="0">
    <oddFooter>&amp;L&amp;F&amp;R&amp;P</oddFooter>
  </headerFooter>
</worksheet>
</file>

<file path=xl/worksheets/sheet13.xml><?xml version="1.0" encoding="utf-8"?>
<worksheet xmlns="http://schemas.openxmlformats.org/spreadsheetml/2006/main" xmlns:r="http://schemas.openxmlformats.org/officeDocument/2006/relationships">
  <sheetPr>
    <tabColor indexed="42"/>
    <pageSetUpPr fitToPage="1"/>
  </sheetPr>
  <dimension ref="A2:I791"/>
  <sheetViews>
    <sheetView zoomScale="85" zoomScaleNormal="85" zoomScalePageLayoutView="0" workbookViewId="0" topLeftCell="A1">
      <pane xSplit="3" ySplit="6" topLeftCell="D711" activePane="bottomRight" state="frozen"/>
      <selection pane="topLeft" activeCell="A1" sqref="A1"/>
      <selection pane="topRight" activeCell="A1" sqref="A1"/>
      <selection pane="bottomLeft" activeCell="A1" sqref="A1"/>
      <selection pane="bottomRight" activeCell="I19" sqref="I19"/>
    </sheetView>
  </sheetViews>
  <sheetFormatPr defaultColWidth="9.140625" defaultRowHeight="12.75" outlineLevelRow="1"/>
  <cols>
    <col min="1" max="1" width="5.57421875" style="1" bestFit="1" customWidth="1"/>
    <col min="2" max="2" width="50.421875" style="1" bestFit="1" customWidth="1"/>
    <col min="3" max="3" width="9.421875" style="6" bestFit="1" customWidth="1"/>
    <col min="4" max="9" width="14.28125" style="1" bestFit="1" customWidth="1"/>
    <col min="10" max="16384" width="9.140625" style="1" customWidth="1"/>
  </cols>
  <sheetData>
    <row r="2" ht="12">
      <c r="B2" s="14" t="str">
        <f>modelname</f>
        <v>3rd Party Access Model</v>
      </c>
    </row>
    <row r="3" spans="1:2" ht="11.25">
      <c r="A3" s="24"/>
      <c r="B3" s="190" t="s">
        <v>329</v>
      </c>
    </row>
    <row r="4" ht="9.75">
      <c r="B4" s="171" t="str">
        <f>Contents!D86</f>
        <v>This sheet summarises all the costs involved in creating a floor and ceiling cost for the railway</v>
      </c>
    </row>
    <row r="5" spans="2:9" ht="9.75">
      <c r="B5" s="192" t="str">
        <f>HYPERLINK(Contents!$A$1,"Back to Contents Page")</f>
        <v>Back to Contents Page</v>
      </c>
      <c r="D5" s="6">
        <v>1</v>
      </c>
      <c r="E5" s="6">
        <v>2</v>
      </c>
      <c r="F5" s="6">
        <v>3</v>
      </c>
      <c r="G5" s="6">
        <v>4</v>
      </c>
      <c r="H5" s="6">
        <v>5</v>
      </c>
      <c r="I5" s="6">
        <v>6</v>
      </c>
    </row>
    <row r="6" spans="2:9" ht="9.75">
      <c r="B6" s="1" t="s">
        <v>214</v>
      </c>
      <c r="D6" s="169">
        <f>EOMONTH(modelstart,11)</f>
        <v>40724</v>
      </c>
      <c r="E6" s="169">
        <f>EOMONTH(D6,12)</f>
        <v>41090</v>
      </c>
      <c r="F6" s="169">
        <f>EOMONTH(E6,12)</f>
        <v>41455</v>
      </c>
      <c r="G6" s="169">
        <f>EOMONTH(F6,12)</f>
        <v>41820</v>
      </c>
      <c r="H6" s="169">
        <f>EOMONTH(G6,12)</f>
        <v>42185</v>
      </c>
      <c r="I6" s="169">
        <f>EOMONTH(H6,12)</f>
        <v>42551</v>
      </c>
    </row>
    <row r="7" spans="4:9" ht="9.75">
      <c r="D7" s="169"/>
      <c r="E7" s="169"/>
      <c r="F7" s="169"/>
      <c r="G7" s="169"/>
      <c r="H7" s="169"/>
      <c r="I7" s="169"/>
    </row>
    <row r="8" spans="2:9" ht="9.75">
      <c r="B8" s="2" t="s">
        <v>124</v>
      </c>
      <c r="D8" s="169"/>
      <c r="E8" s="169"/>
      <c r="F8" s="169"/>
      <c r="G8" s="169"/>
      <c r="H8" s="169"/>
      <c r="I8" s="169"/>
    </row>
    <row r="9" spans="2:9" ht="9.75">
      <c r="B9" s="211" t="s">
        <v>236</v>
      </c>
      <c r="C9" s="198" t="str">
        <f>HYPERLINK(CONCATENATE(workbookname,ADDRESS(ROW('Rail Cost Summary'!$A$28),COLUMN('Rail Cost Summary'!$A$28),4,1)),"Click Here")</f>
        <v>Click Here</v>
      </c>
      <c r="D9" s="169"/>
      <c r="E9" s="169"/>
      <c r="F9" s="169"/>
      <c r="G9" s="169"/>
      <c r="H9" s="169"/>
      <c r="I9" s="169"/>
    </row>
    <row r="10" spans="2:9" ht="9.75">
      <c r="B10" s="199" t="s">
        <v>80</v>
      </c>
      <c r="C10" s="198" t="str">
        <f>HYPERLINK(CONCATENATE(workbookname,ADDRESS(ROW('Rail Cost Summary'!$A$30),COLUMN('Rail Cost Summary'!$A$30),4,1)),"Click Here")</f>
        <v>Click Here</v>
      </c>
      <c r="D10" s="169"/>
      <c r="E10" s="169"/>
      <c r="F10" s="169"/>
      <c r="G10" s="169"/>
      <c r="H10" s="169"/>
      <c r="I10" s="169"/>
    </row>
    <row r="11" spans="2:9" ht="9.75">
      <c r="B11" s="199" t="s">
        <v>682</v>
      </c>
      <c r="C11" s="198" t="str">
        <f>HYPERLINK(CONCATENATE(workbookname,ADDRESS(ROW('Rail Cost Summary'!$A$81),COLUMN('Rail Cost Summary'!$A$81),4,1)),"Click Here")</f>
        <v>Click Here</v>
      </c>
      <c r="D11" s="169"/>
      <c r="E11" s="169"/>
      <c r="F11" s="169"/>
      <c r="G11" s="169"/>
      <c r="H11" s="169"/>
      <c r="I11" s="169"/>
    </row>
    <row r="12" spans="2:9" ht="9.75">
      <c r="B12" s="199" t="s">
        <v>226</v>
      </c>
      <c r="C12" s="198" t="str">
        <f>HYPERLINK(CONCATENATE(workbookname,ADDRESS(ROW('Rail Cost Summary'!$A$133),COLUMN('Rail Cost Summary'!$A$133),4,1)),"Click Here")</f>
        <v>Click Here</v>
      </c>
      <c r="D12" s="169"/>
      <c r="E12" s="169"/>
      <c r="F12" s="169"/>
      <c r="G12" s="169"/>
      <c r="H12" s="169"/>
      <c r="I12" s="169"/>
    </row>
    <row r="13" spans="2:9" ht="9.75">
      <c r="B13" s="199" t="s">
        <v>246</v>
      </c>
      <c r="C13" s="198" t="str">
        <f>HYPERLINK(CONCATENATE(workbookname,ADDRESS(ROW('Rail Cost Summary'!$A$184),COLUMN('Rail Cost Summary'!$A$184),4,1)),"Click Here")</f>
        <v>Click Here</v>
      </c>
      <c r="D13" s="169"/>
      <c r="E13" s="169"/>
      <c r="F13" s="169"/>
      <c r="G13" s="169"/>
      <c r="H13" s="169"/>
      <c r="I13" s="169"/>
    </row>
    <row r="14" spans="2:9" ht="9.75">
      <c r="B14" s="199" t="s">
        <v>100</v>
      </c>
      <c r="C14" s="198" t="str">
        <f>HYPERLINK(CONCATENATE(workbookname,ADDRESS(ROW('Rail Cost Summary'!$A$258),COLUMN('Rail Cost Summary'!$A$258),4,1)),"Click Here")</f>
        <v>Click Here</v>
      </c>
      <c r="D14" s="169"/>
      <c r="E14" s="169"/>
      <c r="F14" s="169"/>
      <c r="G14" s="169"/>
      <c r="H14" s="169"/>
      <c r="I14" s="169"/>
    </row>
    <row r="15" spans="2:9" ht="9.75">
      <c r="B15" s="199" t="s">
        <v>262</v>
      </c>
      <c r="C15" s="198" t="str">
        <f>HYPERLINK(CONCATENATE(workbookname,ADDRESS(ROW('Rail Cost Summary'!$A$286),COLUMN('Rail Cost Summary'!$A$286),4,1)),"Click Here")</f>
        <v>Click Here</v>
      </c>
      <c r="D15" s="169"/>
      <c r="E15" s="169"/>
      <c r="F15" s="169"/>
      <c r="G15" s="169"/>
      <c r="H15" s="169"/>
      <c r="I15" s="169"/>
    </row>
    <row r="16" spans="2:9" ht="9.75">
      <c r="B16" s="199" t="s">
        <v>269</v>
      </c>
      <c r="C16" s="198" t="str">
        <f>HYPERLINK(CONCATENATE(workbookname,ADDRESS(ROW('Rail Cost Summary'!$A$325),COLUMN('Rail Cost Summary'!$A$325),4,1)),"Click Here")</f>
        <v>Click Here</v>
      </c>
      <c r="D16" s="169"/>
      <c r="E16" s="169"/>
      <c r="F16" s="169"/>
      <c r="G16" s="169"/>
      <c r="H16" s="169"/>
      <c r="I16" s="169"/>
    </row>
    <row r="17" spans="2:9" ht="9.75">
      <c r="B17" s="199" t="s">
        <v>272</v>
      </c>
      <c r="C17" s="198" t="str">
        <f>HYPERLINK(CONCATENATE(workbookname,ADDRESS(ROW('Rail Cost Summary'!$A$350),COLUMN('Rail Cost Summary'!$A$350),4,1)),"Click Here")</f>
        <v>Click Here</v>
      </c>
      <c r="D17" s="169"/>
      <c r="E17" s="169"/>
      <c r="F17" s="169"/>
      <c r="G17" s="169"/>
      <c r="H17" s="169"/>
      <c r="I17" s="169"/>
    </row>
    <row r="18" spans="2:9" ht="9.75">
      <c r="B18" s="211" t="s">
        <v>276</v>
      </c>
      <c r="C18" s="198" t="str">
        <f>HYPERLINK(CONCATENATE(workbookname,ADDRESS(ROW('Rail Cost Summary'!$A$376),COLUMN('Rail Cost Summary'!$A$376),4,1)),"Click Here")</f>
        <v>Click Here</v>
      </c>
      <c r="D18" s="169"/>
      <c r="E18" s="169"/>
      <c r="F18" s="169"/>
      <c r="G18" s="169"/>
      <c r="H18" s="169"/>
      <c r="I18" s="169"/>
    </row>
    <row r="19" spans="2:9" ht="9.75">
      <c r="B19" s="199" t="s">
        <v>80</v>
      </c>
      <c r="C19" s="198" t="str">
        <f>HYPERLINK(CONCATENATE(workbookname,ADDRESS(ROW('Rail Cost Summary'!$A$378),COLUMN('Rail Cost Summary'!$A$378),4,1)),"Click Here")</f>
        <v>Click Here</v>
      </c>
      <c r="D19" s="169"/>
      <c r="E19" s="169"/>
      <c r="F19" s="169"/>
      <c r="G19" s="169"/>
      <c r="H19" s="169"/>
      <c r="I19" s="169"/>
    </row>
    <row r="20" spans="2:9" ht="9.75">
      <c r="B20" s="199" t="s">
        <v>682</v>
      </c>
      <c r="C20" s="198" t="str">
        <f>HYPERLINK(CONCATENATE(workbookname,ADDRESS(ROW('Rail Cost Summary'!$A$452),COLUMN('Rail Cost Summary'!$A$452),4,1)),"Click Here")</f>
        <v>Click Here</v>
      </c>
      <c r="D20" s="169"/>
      <c r="E20" s="169"/>
      <c r="F20" s="169"/>
      <c r="G20" s="169"/>
      <c r="H20" s="169"/>
      <c r="I20" s="169"/>
    </row>
    <row r="21" spans="2:9" ht="9.75">
      <c r="B21" s="199" t="s">
        <v>226</v>
      </c>
      <c r="C21" s="198" t="str">
        <f>HYPERLINK(CONCATENATE(workbookname,ADDRESS(ROW('Rail Cost Summary'!$A$527),COLUMN('Rail Cost Summary'!$A$527),4,1)),"Click Here")</f>
        <v>Click Here</v>
      </c>
      <c r="D21" s="169"/>
      <c r="E21" s="169"/>
      <c r="F21" s="169"/>
      <c r="G21" s="169"/>
      <c r="H21" s="169"/>
      <c r="I21" s="169"/>
    </row>
    <row r="22" spans="2:9" ht="9.75">
      <c r="B22" s="199" t="s">
        <v>246</v>
      </c>
      <c r="C22" s="198" t="str">
        <f>HYPERLINK(CONCATENATE(workbookname,ADDRESS(ROW('Rail Cost Summary'!$A$601),COLUMN('Rail Cost Summary'!$A$601),4,1)),"Click Here")</f>
        <v>Click Here</v>
      </c>
      <c r="D22" s="169"/>
      <c r="E22" s="169"/>
      <c r="F22" s="169"/>
      <c r="G22" s="169"/>
      <c r="H22" s="169"/>
      <c r="I22" s="169"/>
    </row>
    <row r="23" spans="2:9" ht="9.75">
      <c r="B23" s="199" t="s">
        <v>100</v>
      </c>
      <c r="C23" s="198" t="str">
        <f>HYPERLINK(CONCATENATE(workbookname,ADDRESS(ROW('Rail Cost Summary'!$A$675),COLUMN('Rail Cost Summary'!$A$675),4,1)),"Click Here")</f>
        <v>Click Here</v>
      </c>
      <c r="D23" s="169"/>
      <c r="E23" s="169"/>
      <c r="F23" s="169"/>
      <c r="G23" s="169"/>
      <c r="H23" s="169"/>
      <c r="I23" s="169"/>
    </row>
    <row r="24" spans="2:9" ht="9.75">
      <c r="B24" s="199" t="s">
        <v>291</v>
      </c>
      <c r="C24" s="198" t="str">
        <f>HYPERLINK(CONCATENATE(workbookname,ADDRESS(ROW('Rail Cost Summary'!$A$703),COLUMN('Rail Cost Summary'!$A$703),4,1)),"Click Here")</f>
        <v>Click Here</v>
      </c>
      <c r="D24" s="169"/>
      <c r="E24" s="169"/>
      <c r="F24" s="169"/>
      <c r="G24" s="169"/>
      <c r="H24" s="169"/>
      <c r="I24" s="169"/>
    </row>
    <row r="25" spans="2:9" ht="9.75">
      <c r="B25" s="199" t="s">
        <v>269</v>
      </c>
      <c r="C25" s="198" t="str">
        <f>HYPERLINK(CONCATENATE(workbookname,ADDRESS(ROW('Rail Cost Summary'!$A$742),COLUMN('Rail Cost Summary'!$A$742),4,1)),"Click Here")</f>
        <v>Click Here</v>
      </c>
      <c r="D25" s="169"/>
      <c r="E25" s="169"/>
      <c r="F25" s="169"/>
      <c r="G25" s="169"/>
      <c r="H25" s="169"/>
      <c r="I25" s="169"/>
    </row>
    <row r="26" spans="2:9" ht="9.75">
      <c r="B26" s="199" t="s">
        <v>285</v>
      </c>
      <c r="C26" s="198" t="str">
        <f>HYPERLINK(CONCATENATE(workbookname,ADDRESS(ROW('Rail Cost Summary'!$A$767),COLUMN('Rail Cost Summary'!$A$767),4,1)),"Click Here")</f>
        <v>Click Here</v>
      </c>
      <c r="D26" s="169"/>
      <c r="E26" s="169"/>
      <c r="F26" s="169"/>
      <c r="G26" s="169"/>
      <c r="H26" s="169"/>
      <c r="I26" s="169"/>
    </row>
    <row r="27" spans="4:9" ht="9.75">
      <c r="D27" s="169"/>
      <c r="E27" s="169"/>
      <c r="F27" s="169"/>
      <c r="G27" s="169"/>
      <c r="H27" s="169"/>
      <c r="I27" s="169"/>
    </row>
    <row r="28" spans="1:2" ht="12">
      <c r="A28" s="198" t="str">
        <f>HYPERLINK(CONCATENATE(workbookname,"$A$7"),"Top")</f>
        <v>Top</v>
      </c>
      <c r="B28" s="14" t="str">
        <f>Contents!B87</f>
        <v>Floor Costing</v>
      </c>
    </row>
    <row r="29" ht="9.75">
      <c r="B29" s="171" t="str">
        <f>Contents!D87</f>
        <v>This section contains the summary of components that make up floor costing from prior worksheets</v>
      </c>
    </row>
    <row r="30" spans="1:2" ht="9.75">
      <c r="A30" s="198" t="str">
        <f>HYPERLINK(CONCATENATE(workbookname,"$A$7"),"Top")</f>
        <v>Top</v>
      </c>
      <c r="B30" s="3" t="str">
        <f>Contents!B88</f>
        <v>Asset Annuities</v>
      </c>
    </row>
    <row r="31" ht="9.75">
      <c r="B31" s="171" t="str">
        <f>Contents!D88</f>
        <v>The different types of asset annuities allocated towards floor costing</v>
      </c>
    </row>
    <row r="32" ht="9.75" outlineLevel="1"/>
    <row r="33" ht="9.75" outlineLevel="1">
      <c r="B33" s="2" t="s">
        <v>239</v>
      </c>
    </row>
    <row r="34" spans="2:9" ht="9.75" outlineLevel="1">
      <c r="B34" s="22" t="str">
        <f>rail1</f>
        <v>Cloudbreak to Port Dumper</v>
      </c>
      <c r="C34" s="6" t="s">
        <v>85</v>
      </c>
      <c r="D34" s="8">
        <f>'Rail Asset Calcs'!$H10</f>
        <v>131054021.62574902</v>
      </c>
      <c r="E34" s="8">
        <f>'Rail Asset Calcs'!$H10</f>
        <v>131054021.62574902</v>
      </c>
      <c r="F34" s="8">
        <f>'Rail Asset Calcs'!$H10</f>
        <v>131054021.62574902</v>
      </c>
      <c r="G34" s="8">
        <f>'Rail Asset Calcs'!$H10</f>
        <v>131054021.62574902</v>
      </c>
      <c r="H34" s="8">
        <f>'Rail Asset Calcs'!$H10</f>
        <v>131054021.62574902</v>
      </c>
      <c r="I34" s="8">
        <f>'Rail Asset Calcs'!$H10</f>
        <v>131054021.62574902</v>
      </c>
    </row>
    <row r="35" spans="2:9" ht="9.75" outlineLevel="1">
      <c r="B35" s="22" t="str">
        <f>rail2</f>
        <v>Route 2</v>
      </c>
      <c r="C35" s="6" t="s">
        <v>85</v>
      </c>
      <c r="D35" s="8">
        <f>'Rail Asset Calcs'!$H11</f>
        <v>0</v>
      </c>
      <c r="E35" s="8">
        <f>'Rail Asset Calcs'!$H11</f>
        <v>0</v>
      </c>
      <c r="F35" s="8">
        <f>'Rail Asset Calcs'!$H11</f>
        <v>0</v>
      </c>
      <c r="G35" s="8">
        <f>'Rail Asset Calcs'!$H11</f>
        <v>0</v>
      </c>
      <c r="H35" s="8">
        <f>'Rail Asset Calcs'!$H11</f>
        <v>0</v>
      </c>
      <c r="I35" s="8">
        <f>'Rail Asset Calcs'!$H11</f>
        <v>0</v>
      </c>
    </row>
    <row r="36" spans="2:9" ht="9.75" outlineLevel="1">
      <c r="B36" s="22" t="str">
        <f>rail3</f>
        <v>Route 3</v>
      </c>
      <c r="C36" s="6" t="s">
        <v>85</v>
      </c>
      <c r="D36" s="8">
        <f>'Rail Asset Calcs'!$H12</f>
        <v>0</v>
      </c>
      <c r="E36" s="8">
        <f>'Rail Asset Calcs'!$H12</f>
        <v>0</v>
      </c>
      <c r="F36" s="8">
        <f>'Rail Asset Calcs'!$H12</f>
        <v>0</v>
      </c>
      <c r="G36" s="8">
        <f>'Rail Asset Calcs'!$H12</f>
        <v>0</v>
      </c>
      <c r="H36" s="8">
        <f>'Rail Asset Calcs'!$H12</f>
        <v>0</v>
      </c>
      <c r="I36" s="8">
        <f>'Rail Asset Calcs'!$H12</f>
        <v>0</v>
      </c>
    </row>
    <row r="37" spans="2:9" ht="9.75" outlineLevel="1">
      <c r="B37" s="22" t="str">
        <f>rail4</f>
        <v>Route 4</v>
      </c>
      <c r="C37" s="6" t="s">
        <v>85</v>
      </c>
      <c r="D37" s="8">
        <f>'Rail Asset Calcs'!$H13</f>
        <v>0</v>
      </c>
      <c r="E37" s="8">
        <f>'Rail Asset Calcs'!$H13</f>
        <v>0</v>
      </c>
      <c r="F37" s="8">
        <f>'Rail Asset Calcs'!$H13</f>
        <v>0</v>
      </c>
      <c r="G37" s="8">
        <f>'Rail Asset Calcs'!$H13</f>
        <v>0</v>
      </c>
      <c r="H37" s="8">
        <f>'Rail Asset Calcs'!$H13</f>
        <v>0</v>
      </c>
      <c r="I37" s="8">
        <f>'Rail Asset Calcs'!$H13</f>
        <v>0</v>
      </c>
    </row>
    <row r="38" spans="2:9" ht="9.75" outlineLevel="1">
      <c r="B38" s="22" t="str">
        <f>rail5</f>
        <v>Route 5</v>
      </c>
      <c r="C38" s="6" t="s">
        <v>85</v>
      </c>
      <c r="D38" s="8">
        <f>'Rail Asset Calcs'!$H14</f>
        <v>0</v>
      </c>
      <c r="E38" s="8">
        <f>'Rail Asset Calcs'!$H14</f>
        <v>0</v>
      </c>
      <c r="F38" s="8">
        <f>'Rail Asset Calcs'!$H14</f>
        <v>0</v>
      </c>
      <c r="G38" s="8">
        <f>'Rail Asset Calcs'!$H14</f>
        <v>0</v>
      </c>
      <c r="H38" s="8">
        <f>'Rail Asset Calcs'!$H14</f>
        <v>0</v>
      </c>
      <c r="I38" s="8">
        <f>'Rail Asset Calcs'!$H14</f>
        <v>0</v>
      </c>
    </row>
    <row r="39" spans="2:9" ht="9.75" outlineLevel="1">
      <c r="B39" s="22" t="str">
        <f>rail6</f>
        <v>Route 6</v>
      </c>
      <c r="C39" s="6" t="s">
        <v>85</v>
      </c>
      <c r="D39" s="8">
        <f>'Rail Asset Calcs'!$H15</f>
        <v>0</v>
      </c>
      <c r="E39" s="8">
        <f>'Rail Asset Calcs'!$H15</f>
        <v>0</v>
      </c>
      <c r="F39" s="8">
        <f>'Rail Asset Calcs'!$H15</f>
        <v>0</v>
      </c>
      <c r="G39" s="8">
        <f>'Rail Asset Calcs'!$H15</f>
        <v>0</v>
      </c>
      <c r="H39" s="8">
        <f>'Rail Asset Calcs'!$H15</f>
        <v>0</v>
      </c>
      <c r="I39" s="8">
        <f>'Rail Asset Calcs'!$H15</f>
        <v>0</v>
      </c>
    </row>
    <row r="40" spans="2:9" ht="9.75" outlineLevel="1">
      <c r="B40" s="22" t="str">
        <f>rail7</f>
        <v>Route 7</v>
      </c>
      <c r="C40" s="6" t="s">
        <v>85</v>
      </c>
      <c r="D40" s="8">
        <f>'Rail Asset Calcs'!$H16</f>
        <v>0</v>
      </c>
      <c r="E40" s="8">
        <f>'Rail Asset Calcs'!$H16</f>
        <v>0</v>
      </c>
      <c r="F40" s="8">
        <f>'Rail Asset Calcs'!$H16</f>
        <v>0</v>
      </c>
      <c r="G40" s="8">
        <f>'Rail Asset Calcs'!$H16</f>
        <v>0</v>
      </c>
      <c r="H40" s="8">
        <f>'Rail Asset Calcs'!$H16</f>
        <v>0</v>
      </c>
      <c r="I40" s="8">
        <f>'Rail Asset Calcs'!$H16</f>
        <v>0</v>
      </c>
    </row>
    <row r="41" spans="2:9" ht="9.75" outlineLevel="1">
      <c r="B41" s="22" t="str">
        <f>rail8</f>
        <v>Route 8</v>
      </c>
      <c r="C41" s="6" t="s">
        <v>85</v>
      </c>
      <c r="D41" s="8">
        <f>'Rail Asset Calcs'!$H17</f>
        <v>0</v>
      </c>
      <c r="E41" s="8">
        <f>'Rail Asset Calcs'!$H17</f>
        <v>0</v>
      </c>
      <c r="F41" s="8">
        <f>'Rail Asset Calcs'!$H17</f>
        <v>0</v>
      </c>
      <c r="G41" s="8">
        <f>'Rail Asset Calcs'!$H17</f>
        <v>0</v>
      </c>
      <c r="H41" s="8">
        <f>'Rail Asset Calcs'!$H17</f>
        <v>0</v>
      </c>
      <c r="I41" s="8">
        <f>'Rail Asset Calcs'!$H17</f>
        <v>0</v>
      </c>
    </row>
    <row r="42" spans="2:9" ht="9.75" outlineLevel="1">
      <c r="B42" s="22" t="str">
        <f>rail9</f>
        <v>Route 9</v>
      </c>
      <c r="C42" s="6" t="s">
        <v>85</v>
      </c>
      <c r="D42" s="8">
        <f>'Rail Asset Calcs'!$H18</f>
        <v>0</v>
      </c>
      <c r="E42" s="8">
        <f>'Rail Asset Calcs'!$H18</f>
        <v>0</v>
      </c>
      <c r="F42" s="8">
        <f>'Rail Asset Calcs'!$H18</f>
        <v>0</v>
      </c>
      <c r="G42" s="8">
        <f>'Rail Asset Calcs'!$H18</f>
        <v>0</v>
      </c>
      <c r="H42" s="8">
        <f>'Rail Asset Calcs'!$H18</f>
        <v>0</v>
      </c>
      <c r="I42" s="8">
        <f>'Rail Asset Calcs'!$H18</f>
        <v>0</v>
      </c>
    </row>
    <row r="43" spans="2:9" ht="9.75" outlineLevel="1">
      <c r="B43" s="22" t="str">
        <f>rail10</f>
        <v>Route 10</v>
      </c>
      <c r="C43" s="6" t="s">
        <v>85</v>
      </c>
      <c r="D43" s="8">
        <f>'Rail Asset Calcs'!$H19</f>
        <v>0</v>
      </c>
      <c r="E43" s="8">
        <f>'Rail Asset Calcs'!$H19</f>
        <v>0</v>
      </c>
      <c r="F43" s="8">
        <f>'Rail Asset Calcs'!$H19</f>
        <v>0</v>
      </c>
      <c r="G43" s="8">
        <f>'Rail Asset Calcs'!$H19</f>
        <v>0</v>
      </c>
      <c r="H43" s="8">
        <f>'Rail Asset Calcs'!$H19</f>
        <v>0</v>
      </c>
      <c r="I43" s="8">
        <f>'Rail Asset Calcs'!$H19</f>
        <v>0</v>
      </c>
    </row>
    <row r="44" spans="2:9" ht="9.75" outlineLevel="1">
      <c r="B44" s="22" t="str">
        <f>rail11</f>
        <v>Route 11</v>
      </c>
      <c r="C44" s="6" t="s">
        <v>85</v>
      </c>
      <c r="D44" s="8">
        <f>'Rail Asset Calcs'!$H20</f>
        <v>0</v>
      </c>
      <c r="E44" s="8">
        <f>'Rail Asset Calcs'!$H20</f>
        <v>0</v>
      </c>
      <c r="F44" s="8">
        <f>'Rail Asset Calcs'!$H20</f>
        <v>0</v>
      </c>
      <c r="G44" s="8">
        <f>'Rail Asset Calcs'!$H20</f>
        <v>0</v>
      </c>
      <c r="H44" s="8">
        <f>'Rail Asset Calcs'!$H20</f>
        <v>0</v>
      </c>
      <c r="I44" s="8">
        <f>'Rail Asset Calcs'!$H20</f>
        <v>0</v>
      </c>
    </row>
    <row r="45" spans="2:9" ht="9.75" outlineLevel="1">
      <c r="B45" s="22" t="str">
        <f>rail12</f>
        <v>Route 12</v>
      </c>
      <c r="C45" s="6" t="s">
        <v>85</v>
      </c>
      <c r="D45" s="8">
        <f>'Rail Asset Calcs'!$H21</f>
        <v>0</v>
      </c>
      <c r="E45" s="8">
        <f>'Rail Asset Calcs'!$H21</f>
        <v>0</v>
      </c>
      <c r="F45" s="8">
        <f>'Rail Asset Calcs'!$H21</f>
        <v>0</v>
      </c>
      <c r="G45" s="8">
        <f>'Rail Asset Calcs'!$H21</f>
        <v>0</v>
      </c>
      <c r="H45" s="8">
        <f>'Rail Asset Calcs'!$H21</f>
        <v>0</v>
      </c>
      <c r="I45" s="8">
        <f>'Rail Asset Calcs'!$H21</f>
        <v>0</v>
      </c>
    </row>
    <row r="46" spans="2:9" ht="9.75" outlineLevel="1">
      <c r="B46" s="22" t="str">
        <f>rail13</f>
        <v>Route 13</v>
      </c>
      <c r="C46" s="6" t="s">
        <v>85</v>
      </c>
      <c r="D46" s="8">
        <f>'Rail Asset Calcs'!$H22</f>
        <v>0</v>
      </c>
      <c r="E46" s="8">
        <f>'Rail Asset Calcs'!$H22</f>
        <v>0</v>
      </c>
      <c r="F46" s="8">
        <f>'Rail Asset Calcs'!$H22</f>
        <v>0</v>
      </c>
      <c r="G46" s="8">
        <f>'Rail Asset Calcs'!$H22</f>
        <v>0</v>
      </c>
      <c r="H46" s="8">
        <f>'Rail Asset Calcs'!$H22</f>
        <v>0</v>
      </c>
      <c r="I46" s="8">
        <f>'Rail Asset Calcs'!$H22</f>
        <v>0</v>
      </c>
    </row>
    <row r="47" spans="2:9" ht="9.75" outlineLevel="1">
      <c r="B47" s="22" t="str">
        <f>rail14</f>
        <v>Route 14</v>
      </c>
      <c r="C47" s="6" t="s">
        <v>85</v>
      </c>
      <c r="D47" s="8">
        <f>'Rail Asset Calcs'!$H23</f>
        <v>0</v>
      </c>
      <c r="E47" s="8">
        <f>'Rail Asset Calcs'!$H23</f>
        <v>0</v>
      </c>
      <c r="F47" s="8">
        <f>'Rail Asset Calcs'!$H23</f>
        <v>0</v>
      </c>
      <c r="G47" s="8">
        <f>'Rail Asset Calcs'!$H23</f>
        <v>0</v>
      </c>
      <c r="H47" s="8">
        <f>'Rail Asset Calcs'!$H23</f>
        <v>0</v>
      </c>
      <c r="I47" s="8">
        <f>'Rail Asset Calcs'!$H23</f>
        <v>0</v>
      </c>
    </row>
    <row r="48" spans="2:9" ht="9.75" outlineLevel="1">
      <c r="B48" s="22" t="str">
        <f>rail15</f>
        <v>Route 15</v>
      </c>
      <c r="C48" s="6" t="s">
        <v>85</v>
      </c>
      <c r="D48" s="8">
        <f>'Rail Asset Calcs'!$H24</f>
        <v>0</v>
      </c>
      <c r="E48" s="8">
        <f>'Rail Asset Calcs'!$H24</f>
        <v>0</v>
      </c>
      <c r="F48" s="8">
        <f>'Rail Asset Calcs'!$H24</f>
        <v>0</v>
      </c>
      <c r="G48" s="8">
        <f>'Rail Asset Calcs'!$H24</f>
        <v>0</v>
      </c>
      <c r="H48" s="8">
        <f>'Rail Asset Calcs'!$H24</f>
        <v>0</v>
      </c>
      <c r="I48" s="8">
        <f>'Rail Asset Calcs'!$H24</f>
        <v>0</v>
      </c>
    </row>
    <row r="49" spans="2:9" ht="9.75" outlineLevel="1">
      <c r="B49" s="22" t="str">
        <f>rail16</f>
        <v>Route 16</v>
      </c>
      <c r="C49" s="6" t="s">
        <v>85</v>
      </c>
      <c r="D49" s="8">
        <f>'Rail Asset Calcs'!$H25</f>
        <v>0</v>
      </c>
      <c r="E49" s="8">
        <f>'Rail Asset Calcs'!$H25</f>
        <v>0</v>
      </c>
      <c r="F49" s="8">
        <f>'Rail Asset Calcs'!$H25</f>
        <v>0</v>
      </c>
      <c r="G49" s="8">
        <f>'Rail Asset Calcs'!$H25</f>
        <v>0</v>
      </c>
      <c r="H49" s="8">
        <f>'Rail Asset Calcs'!$H25</f>
        <v>0</v>
      </c>
      <c r="I49" s="8">
        <f>'Rail Asset Calcs'!$H25</f>
        <v>0</v>
      </c>
    </row>
    <row r="50" spans="2:9" ht="9.75" outlineLevel="1">
      <c r="B50" s="22" t="str">
        <f>rail17</f>
        <v>Route 17</v>
      </c>
      <c r="C50" s="6" t="s">
        <v>85</v>
      </c>
      <c r="D50" s="8">
        <f>'Rail Asset Calcs'!$H26</f>
        <v>0</v>
      </c>
      <c r="E50" s="8">
        <f>'Rail Asset Calcs'!$H26</f>
        <v>0</v>
      </c>
      <c r="F50" s="8">
        <f>'Rail Asset Calcs'!$H26</f>
        <v>0</v>
      </c>
      <c r="G50" s="8">
        <f>'Rail Asset Calcs'!$H26</f>
        <v>0</v>
      </c>
      <c r="H50" s="8">
        <f>'Rail Asset Calcs'!$H26</f>
        <v>0</v>
      </c>
      <c r="I50" s="8">
        <f>'Rail Asset Calcs'!$H26</f>
        <v>0</v>
      </c>
    </row>
    <row r="51" spans="2:9" ht="9.75" outlineLevel="1">
      <c r="B51" s="22" t="str">
        <f>rail18</f>
        <v>Route 18</v>
      </c>
      <c r="C51" s="6" t="s">
        <v>85</v>
      </c>
      <c r="D51" s="8">
        <f>'Rail Asset Calcs'!$H27</f>
        <v>0</v>
      </c>
      <c r="E51" s="8">
        <f>'Rail Asset Calcs'!$H27</f>
        <v>0</v>
      </c>
      <c r="F51" s="8">
        <f>'Rail Asset Calcs'!$H27</f>
        <v>0</v>
      </c>
      <c r="G51" s="8">
        <f>'Rail Asset Calcs'!$H27</f>
        <v>0</v>
      </c>
      <c r="H51" s="8">
        <f>'Rail Asset Calcs'!$H27</f>
        <v>0</v>
      </c>
      <c r="I51" s="8">
        <f>'Rail Asset Calcs'!$H27</f>
        <v>0</v>
      </c>
    </row>
    <row r="52" spans="2:9" ht="9.75" outlineLevel="1">
      <c r="B52" s="22" t="str">
        <f>rail19</f>
        <v>Route 19</v>
      </c>
      <c r="C52" s="6" t="s">
        <v>85</v>
      </c>
      <c r="D52" s="8">
        <f>'Rail Asset Calcs'!$H28</f>
        <v>0</v>
      </c>
      <c r="E52" s="8">
        <f>'Rail Asset Calcs'!$H28</f>
        <v>0</v>
      </c>
      <c r="F52" s="8">
        <f>'Rail Asset Calcs'!$H28</f>
        <v>0</v>
      </c>
      <c r="G52" s="8">
        <f>'Rail Asset Calcs'!$H28</f>
        <v>0</v>
      </c>
      <c r="H52" s="8">
        <f>'Rail Asset Calcs'!$H28</f>
        <v>0</v>
      </c>
      <c r="I52" s="8">
        <f>'Rail Asset Calcs'!$H28</f>
        <v>0</v>
      </c>
    </row>
    <row r="53" spans="2:9" ht="9.75" outlineLevel="1">
      <c r="B53" s="22" t="str">
        <f>rail20</f>
        <v>Route 20</v>
      </c>
      <c r="C53" s="6" t="s">
        <v>85</v>
      </c>
      <c r="D53" s="8">
        <f>'Rail Asset Calcs'!$H29</f>
        <v>0</v>
      </c>
      <c r="E53" s="8">
        <f>'Rail Asset Calcs'!$H29</f>
        <v>0</v>
      </c>
      <c r="F53" s="8">
        <f>'Rail Asset Calcs'!$H29</f>
        <v>0</v>
      </c>
      <c r="G53" s="8">
        <f>'Rail Asset Calcs'!$H29</f>
        <v>0</v>
      </c>
      <c r="H53" s="8">
        <f>'Rail Asset Calcs'!$H29</f>
        <v>0</v>
      </c>
      <c r="I53" s="8">
        <f>'Rail Asset Calcs'!$H29</f>
        <v>0</v>
      </c>
    </row>
    <row r="54" spans="2:9" ht="9.75" outlineLevel="1">
      <c r="B54" s="1" t="s">
        <v>237</v>
      </c>
      <c r="C54" s="6" t="s">
        <v>85</v>
      </c>
      <c r="D54" s="170">
        <f aca="true" t="shared" si="0" ref="D54:I54">SUM(D34:D53)</f>
        <v>131054021.62574902</v>
      </c>
      <c r="E54" s="170">
        <f t="shared" si="0"/>
        <v>131054021.62574902</v>
      </c>
      <c r="F54" s="170">
        <f t="shared" si="0"/>
        <v>131054021.62574902</v>
      </c>
      <c r="G54" s="170">
        <f t="shared" si="0"/>
        <v>131054021.62574902</v>
      </c>
      <c r="H54" s="170">
        <f t="shared" si="0"/>
        <v>131054021.62574902</v>
      </c>
      <c r="I54" s="170">
        <f t="shared" si="0"/>
        <v>131054021.62574902</v>
      </c>
    </row>
    <row r="55" ht="9.75" outlineLevel="1"/>
    <row r="56" ht="9.75" outlineLevel="1">
      <c r="B56" s="2" t="s">
        <v>238</v>
      </c>
    </row>
    <row r="57" spans="2:9" ht="9.75" outlineLevel="1">
      <c r="B57" s="22" t="str">
        <f>rail1</f>
        <v>Cloudbreak to Port Dumper</v>
      </c>
      <c r="C57" s="6" t="s">
        <v>85</v>
      </c>
      <c r="D57" s="8">
        <f>'Rail Asset Calcs'!$I10</f>
        <v>22925008.20700078</v>
      </c>
      <c r="E57" s="8">
        <f>'Rail Asset Calcs'!$I10</f>
        <v>22925008.20700078</v>
      </c>
      <c r="F57" s="8">
        <f>'Rail Asset Calcs'!$I10</f>
        <v>22925008.20700078</v>
      </c>
      <c r="G57" s="8">
        <f>'Rail Asset Calcs'!$I10</f>
        <v>22925008.20700078</v>
      </c>
      <c r="H57" s="8">
        <f>'Rail Asset Calcs'!$I10</f>
        <v>22925008.20700078</v>
      </c>
      <c r="I57" s="8">
        <f>'Rail Asset Calcs'!$I10</f>
        <v>22925008.20700078</v>
      </c>
    </row>
    <row r="58" spans="2:9" ht="9.75" outlineLevel="1">
      <c r="B58" s="22" t="str">
        <f>rail2</f>
        <v>Route 2</v>
      </c>
      <c r="C58" s="6" t="s">
        <v>85</v>
      </c>
      <c r="D58" s="8">
        <f>'Rail Asset Calcs'!$I11</f>
        <v>0</v>
      </c>
      <c r="E58" s="8">
        <f>'Rail Asset Calcs'!$I11</f>
        <v>0</v>
      </c>
      <c r="F58" s="8">
        <f>'Rail Asset Calcs'!$I11</f>
        <v>0</v>
      </c>
      <c r="G58" s="8">
        <f>'Rail Asset Calcs'!$I11</f>
        <v>0</v>
      </c>
      <c r="H58" s="8">
        <f>'Rail Asset Calcs'!$I11</f>
        <v>0</v>
      </c>
      <c r="I58" s="8">
        <f>'Rail Asset Calcs'!$I11</f>
        <v>0</v>
      </c>
    </row>
    <row r="59" spans="2:9" ht="9.75" outlineLevel="1">
      <c r="B59" s="22" t="str">
        <f>rail3</f>
        <v>Route 3</v>
      </c>
      <c r="C59" s="6" t="s">
        <v>85</v>
      </c>
      <c r="D59" s="8">
        <f>'Rail Asset Calcs'!$I12</f>
        <v>0</v>
      </c>
      <c r="E59" s="8">
        <f>'Rail Asset Calcs'!$I12</f>
        <v>0</v>
      </c>
      <c r="F59" s="8">
        <f>'Rail Asset Calcs'!$I12</f>
        <v>0</v>
      </c>
      <c r="G59" s="8">
        <f>'Rail Asset Calcs'!$I12</f>
        <v>0</v>
      </c>
      <c r="H59" s="8">
        <f>'Rail Asset Calcs'!$I12</f>
        <v>0</v>
      </c>
      <c r="I59" s="8">
        <f>'Rail Asset Calcs'!$I12</f>
        <v>0</v>
      </c>
    </row>
    <row r="60" spans="2:9" ht="9.75" outlineLevel="1">
      <c r="B60" s="22" t="str">
        <f>rail4</f>
        <v>Route 4</v>
      </c>
      <c r="C60" s="6" t="s">
        <v>85</v>
      </c>
      <c r="D60" s="8">
        <f>'Rail Asset Calcs'!$I13</f>
        <v>0</v>
      </c>
      <c r="E60" s="8">
        <f>'Rail Asset Calcs'!$I13</f>
        <v>0</v>
      </c>
      <c r="F60" s="8">
        <f>'Rail Asset Calcs'!$I13</f>
        <v>0</v>
      </c>
      <c r="G60" s="8">
        <f>'Rail Asset Calcs'!$I13</f>
        <v>0</v>
      </c>
      <c r="H60" s="8">
        <f>'Rail Asset Calcs'!$I13</f>
        <v>0</v>
      </c>
      <c r="I60" s="8">
        <f>'Rail Asset Calcs'!$I13</f>
        <v>0</v>
      </c>
    </row>
    <row r="61" spans="2:9" ht="9.75" outlineLevel="1">
      <c r="B61" s="22" t="str">
        <f>rail5</f>
        <v>Route 5</v>
      </c>
      <c r="C61" s="6" t="s">
        <v>85</v>
      </c>
      <c r="D61" s="8">
        <f>'Rail Asset Calcs'!$I14</f>
        <v>0</v>
      </c>
      <c r="E61" s="8">
        <f>'Rail Asset Calcs'!$I14</f>
        <v>0</v>
      </c>
      <c r="F61" s="8">
        <f>'Rail Asset Calcs'!$I14</f>
        <v>0</v>
      </c>
      <c r="G61" s="8">
        <f>'Rail Asset Calcs'!$I14</f>
        <v>0</v>
      </c>
      <c r="H61" s="8">
        <f>'Rail Asset Calcs'!$I14</f>
        <v>0</v>
      </c>
      <c r="I61" s="8">
        <f>'Rail Asset Calcs'!$I14</f>
        <v>0</v>
      </c>
    </row>
    <row r="62" spans="2:9" ht="9.75" outlineLevel="1">
      <c r="B62" s="22" t="str">
        <f>rail6</f>
        <v>Route 6</v>
      </c>
      <c r="C62" s="6" t="s">
        <v>85</v>
      </c>
      <c r="D62" s="8">
        <f>'Rail Asset Calcs'!$I15</f>
        <v>0</v>
      </c>
      <c r="E62" s="8">
        <f>'Rail Asset Calcs'!$I15</f>
        <v>0</v>
      </c>
      <c r="F62" s="8">
        <f>'Rail Asset Calcs'!$I15</f>
        <v>0</v>
      </c>
      <c r="G62" s="8">
        <f>'Rail Asset Calcs'!$I15</f>
        <v>0</v>
      </c>
      <c r="H62" s="8">
        <f>'Rail Asset Calcs'!$I15</f>
        <v>0</v>
      </c>
      <c r="I62" s="8">
        <f>'Rail Asset Calcs'!$I15</f>
        <v>0</v>
      </c>
    </row>
    <row r="63" spans="2:9" ht="9.75" outlineLevel="1">
      <c r="B63" s="22" t="str">
        <f>rail7</f>
        <v>Route 7</v>
      </c>
      <c r="C63" s="6" t="s">
        <v>85</v>
      </c>
      <c r="D63" s="8">
        <f>'Rail Asset Calcs'!$I16</f>
        <v>0</v>
      </c>
      <c r="E63" s="8">
        <f>'Rail Asset Calcs'!$I16</f>
        <v>0</v>
      </c>
      <c r="F63" s="8">
        <f>'Rail Asset Calcs'!$I16</f>
        <v>0</v>
      </c>
      <c r="G63" s="8">
        <f>'Rail Asset Calcs'!$I16</f>
        <v>0</v>
      </c>
      <c r="H63" s="8">
        <f>'Rail Asset Calcs'!$I16</f>
        <v>0</v>
      </c>
      <c r="I63" s="8">
        <f>'Rail Asset Calcs'!$I16</f>
        <v>0</v>
      </c>
    </row>
    <row r="64" spans="2:9" ht="9.75" outlineLevel="1">
      <c r="B64" s="22" t="str">
        <f>rail8</f>
        <v>Route 8</v>
      </c>
      <c r="C64" s="6" t="s">
        <v>85</v>
      </c>
      <c r="D64" s="8">
        <f>'Rail Asset Calcs'!$I17</f>
        <v>0</v>
      </c>
      <c r="E64" s="8">
        <f>'Rail Asset Calcs'!$I17</f>
        <v>0</v>
      </c>
      <c r="F64" s="8">
        <f>'Rail Asset Calcs'!$I17</f>
        <v>0</v>
      </c>
      <c r="G64" s="8">
        <f>'Rail Asset Calcs'!$I17</f>
        <v>0</v>
      </c>
      <c r="H64" s="8">
        <f>'Rail Asset Calcs'!$I17</f>
        <v>0</v>
      </c>
      <c r="I64" s="8">
        <f>'Rail Asset Calcs'!$I17</f>
        <v>0</v>
      </c>
    </row>
    <row r="65" spans="2:9" ht="9.75" outlineLevel="1">
      <c r="B65" s="22" t="str">
        <f>rail9</f>
        <v>Route 9</v>
      </c>
      <c r="C65" s="6" t="s">
        <v>85</v>
      </c>
      <c r="D65" s="8">
        <f>'Rail Asset Calcs'!$I18</f>
        <v>0</v>
      </c>
      <c r="E65" s="8">
        <f>'Rail Asset Calcs'!$I18</f>
        <v>0</v>
      </c>
      <c r="F65" s="8">
        <f>'Rail Asset Calcs'!$I18</f>
        <v>0</v>
      </c>
      <c r="G65" s="8">
        <f>'Rail Asset Calcs'!$I18</f>
        <v>0</v>
      </c>
      <c r="H65" s="8">
        <f>'Rail Asset Calcs'!$I18</f>
        <v>0</v>
      </c>
      <c r="I65" s="8">
        <f>'Rail Asset Calcs'!$I18</f>
        <v>0</v>
      </c>
    </row>
    <row r="66" spans="2:9" ht="9.75" outlineLevel="1">
      <c r="B66" s="22" t="str">
        <f>rail10</f>
        <v>Route 10</v>
      </c>
      <c r="C66" s="6" t="s">
        <v>85</v>
      </c>
      <c r="D66" s="8">
        <f>'Rail Asset Calcs'!$I19</f>
        <v>0</v>
      </c>
      <c r="E66" s="8">
        <f>'Rail Asset Calcs'!$I19</f>
        <v>0</v>
      </c>
      <c r="F66" s="8">
        <f>'Rail Asset Calcs'!$I19</f>
        <v>0</v>
      </c>
      <c r="G66" s="8">
        <f>'Rail Asset Calcs'!$I19</f>
        <v>0</v>
      </c>
      <c r="H66" s="8">
        <f>'Rail Asset Calcs'!$I19</f>
        <v>0</v>
      </c>
      <c r="I66" s="8">
        <f>'Rail Asset Calcs'!$I19</f>
        <v>0</v>
      </c>
    </row>
    <row r="67" spans="2:9" ht="9.75" outlineLevel="1">
      <c r="B67" s="22" t="str">
        <f>rail11</f>
        <v>Route 11</v>
      </c>
      <c r="C67" s="6" t="s">
        <v>85</v>
      </c>
      <c r="D67" s="8">
        <f>'Rail Asset Calcs'!$I20</f>
        <v>0</v>
      </c>
      <c r="E67" s="8">
        <f>'Rail Asset Calcs'!$I20</f>
        <v>0</v>
      </c>
      <c r="F67" s="8">
        <f>'Rail Asset Calcs'!$I20</f>
        <v>0</v>
      </c>
      <c r="G67" s="8">
        <f>'Rail Asset Calcs'!$I20</f>
        <v>0</v>
      </c>
      <c r="H67" s="8">
        <f>'Rail Asset Calcs'!$I20</f>
        <v>0</v>
      </c>
      <c r="I67" s="8">
        <f>'Rail Asset Calcs'!$I20</f>
        <v>0</v>
      </c>
    </row>
    <row r="68" spans="2:9" ht="9.75" outlineLevel="1">
      <c r="B68" s="22" t="str">
        <f>rail12</f>
        <v>Route 12</v>
      </c>
      <c r="C68" s="6" t="s">
        <v>85</v>
      </c>
      <c r="D68" s="8">
        <f>'Rail Asset Calcs'!$I21</f>
        <v>0</v>
      </c>
      <c r="E68" s="8">
        <f>'Rail Asset Calcs'!$I21</f>
        <v>0</v>
      </c>
      <c r="F68" s="8">
        <f>'Rail Asset Calcs'!$I21</f>
        <v>0</v>
      </c>
      <c r="G68" s="8">
        <f>'Rail Asset Calcs'!$I21</f>
        <v>0</v>
      </c>
      <c r="H68" s="8">
        <f>'Rail Asset Calcs'!$I21</f>
        <v>0</v>
      </c>
      <c r="I68" s="8">
        <f>'Rail Asset Calcs'!$I21</f>
        <v>0</v>
      </c>
    </row>
    <row r="69" spans="2:9" ht="9.75" outlineLevel="1">
      <c r="B69" s="22" t="str">
        <f>rail13</f>
        <v>Route 13</v>
      </c>
      <c r="C69" s="6" t="s">
        <v>85</v>
      </c>
      <c r="D69" s="8">
        <f>'Rail Asset Calcs'!$I22</f>
        <v>0</v>
      </c>
      <c r="E69" s="8">
        <f>'Rail Asset Calcs'!$I22</f>
        <v>0</v>
      </c>
      <c r="F69" s="8">
        <f>'Rail Asset Calcs'!$I22</f>
        <v>0</v>
      </c>
      <c r="G69" s="8">
        <f>'Rail Asset Calcs'!$I22</f>
        <v>0</v>
      </c>
      <c r="H69" s="8">
        <f>'Rail Asset Calcs'!$I22</f>
        <v>0</v>
      </c>
      <c r="I69" s="8">
        <f>'Rail Asset Calcs'!$I22</f>
        <v>0</v>
      </c>
    </row>
    <row r="70" spans="2:9" ht="9.75" outlineLevel="1">
      <c r="B70" s="22" t="str">
        <f>rail14</f>
        <v>Route 14</v>
      </c>
      <c r="C70" s="6" t="s">
        <v>85</v>
      </c>
      <c r="D70" s="8">
        <f>'Rail Asset Calcs'!$I23</f>
        <v>0</v>
      </c>
      <c r="E70" s="8">
        <f>'Rail Asset Calcs'!$I23</f>
        <v>0</v>
      </c>
      <c r="F70" s="8">
        <f>'Rail Asset Calcs'!$I23</f>
        <v>0</v>
      </c>
      <c r="G70" s="8">
        <f>'Rail Asset Calcs'!$I23</f>
        <v>0</v>
      </c>
      <c r="H70" s="8">
        <f>'Rail Asset Calcs'!$I23</f>
        <v>0</v>
      </c>
      <c r="I70" s="8">
        <f>'Rail Asset Calcs'!$I23</f>
        <v>0</v>
      </c>
    </row>
    <row r="71" spans="2:9" ht="9.75" outlineLevel="1">
      <c r="B71" s="22" t="str">
        <f>rail15</f>
        <v>Route 15</v>
      </c>
      <c r="C71" s="6" t="s">
        <v>85</v>
      </c>
      <c r="D71" s="8">
        <f>'Rail Asset Calcs'!$I24</f>
        <v>0</v>
      </c>
      <c r="E71" s="8">
        <f>'Rail Asset Calcs'!$I24</f>
        <v>0</v>
      </c>
      <c r="F71" s="8">
        <f>'Rail Asset Calcs'!$I24</f>
        <v>0</v>
      </c>
      <c r="G71" s="8">
        <f>'Rail Asset Calcs'!$I24</f>
        <v>0</v>
      </c>
      <c r="H71" s="8">
        <f>'Rail Asset Calcs'!$I24</f>
        <v>0</v>
      </c>
      <c r="I71" s="8">
        <f>'Rail Asset Calcs'!$I24</f>
        <v>0</v>
      </c>
    </row>
    <row r="72" spans="2:9" ht="9.75" outlineLevel="1">
      <c r="B72" s="22" t="str">
        <f>rail16</f>
        <v>Route 16</v>
      </c>
      <c r="C72" s="6" t="s">
        <v>85</v>
      </c>
      <c r="D72" s="8">
        <f>'Rail Asset Calcs'!$I25</f>
        <v>0</v>
      </c>
      <c r="E72" s="8">
        <f>'Rail Asset Calcs'!$I25</f>
        <v>0</v>
      </c>
      <c r="F72" s="8">
        <f>'Rail Asset Calcs'!$I25</f>
        <v>0</v>
      </c>
      <c r="G72" s="8">
        <f>'Rail Asset Calcs'!$I25</f>
        <v>0</v>
      </c>
      <c r="H72" s="8">
        <f>'Rail Asset Calcs'!$I25</f>
        <v>0</v>
      </c>
      <c r="I72" s="8">
        <f>'Rail Asset Calcs'!$I25</f>
        <v>0</v>
      </c>
    </row>
    <row r="73" spans="2:9" ht="9.75" outlineLevel="1">
      <c r="B73" s="22" t="str">
        <f>rail17</f>
        <v>Route 17</v>
      </c>
      <c r="C73" s="6" t="s">
        <v>85</v>
      </c>
      <c r="D73" s="8">
        <f>'Rail Asset Calcs'!$I26</f>
        <v>0</v>
      </c>
      <c r="E73" s="8">
        <f>'Rail Asset Calcs'!$I26</f>
        <v>0</v>
      </c>
      <c r="F73" s="8">
        <f>'Rail Asset Calcs'!$I26</f>
        <v>0</v>
      </c>
      <c r="G73" s="8">
        <f>'Rail Asset Calcs'!$I26</f>
        <v>0</v>
      </c>
      <c r="H73" s="8">
        <f>'Rail Asset Calcs'!$I26</f>
        <v>0</v>
      </c>
      <c r="I73" s="8">
        <f>'Rail Asset Calcs'!$I26</f>
        <v>0</v>
      </c>
    </row>
    <row r="74" spans="2:9" ht="9.75" outlineLevel="1">
      <c r="B74" s="22" t="str">
        <f>rail18</f>
        <v>Route 18</v>
      </c>
      <c r="C74" s="6" t="s">
        <v>85</v>
      </c>
      <c r="D74" s="8">
        <f>'Rail Asset Calcs'!$I27</f>
        <v>0</v>
      </c>
      <c r="E74" s="8">
        <f>'Rail Asset Calcs'!$I27</f>
        <v>0</v>
      </c>
      <c r="F74" s="8">
        <f>'Rail Asset Calcs'!$I27</f>
        <v>0</v>
      </c>
      <c r="G74" s="8">
        <f>'Rail Asset Calcs'!$I27</f>
        <v>0</v>
      </c>
      <c r="H74" s="8">
        <f>'Rail Asset Calcs'!$I27</f>
        <v>0</v>
      </c>
      <c r="I74" s="8">
        <f>'Rail Asset Calcs'!$I27</f>
        <v>0</v>
      </c>
    </row>
    <row r="75" spans="2:9" ht="9.75" outlineLevel="1">
      <c r="B75" s="22" t="str">
        <f>rail19</f>
        <v>Route 19</v>
      </c>
      <c r="C75" s="6" t="s">
        <v>85</v>
      </c>
      <c r="D75" s="8">
        <f>'Rail Asset Calcs'!$I28</f>
        <v>0</v>
      </c>
      <c r="E75" s="8">
        <f>'Rail Asset Calcs'!$I28</f>
        <v>0</v>
      </c>
      <c r="F75" s="8">
        <f>'Rail Asset Calcs'!$I28</f>
        <v>0</v>
      </c>
      <c r="G75" s="8">
        <f>'Rail Asset Calcs'!$I28</f>
        <v>0</v>
      </c>
      <c r="H75" s="8">
        <f>'Rail Asset Calcs'!$I28</f>
        <v>0</v>
      </c>
      <c r="I75" s="8">
        <f>'Rail Asset Calcs'!$I28</f>
        <v>0</v>
      </c>
    </row>
    <row r="76" spans="2:9" ht="9.75" outlineLevel="1">
      <c r="B76" s="22" t="str">
        <f>rail20</f>
        <v>Route 20</v>
      </c>
      <c r="C76" s="6" t="s">
        <v>85</v>
      </c>
      <c r="D76" s="8">
        <f>'Rail Asset Calcs'!$I29</f>
        <v>0</v>
      </c>
      <c r="E76" s="8">
        <f>'Rail Asset Calcs'!$I29</f>
        <v>0</v>
      </c>
      <c r="F76" s="8">
        <f>'Rail Asset Calcs'!$I29</f>
        <v>0</v>
      </c>
      <c r="G76" s="8">
        <f>'Rail Asset Calcs'!$I29</f>
        <v>0</v>
      </c>
      <c r="H76" s="8">
        <f>'Rail Asset Calcs'!$I29</f>
        <v>0</v>
      </c>
      <c r="I76" s="8">
        <f>'Rail Asset Calcs'!$I29</f>
        <v>0</v>
      </c>
    </row>
    <row r="77" spans="2:9" ht="9.75" outlineLevel="1">
      <c r="B77" s="1" t="s">
        <v>251</v>
      </c>
      <c r="C77" s="6" t="s">
        <v>85</v>
      </c>
      <c r="D77" s="170">
        <f aca="true" t="shared" si="1" ref="D77:I77">SUM(D57:D76)</f>
        <v>22925008.20700078</v>
      </c>
      <c r="E77" s="170">
        <f t="shared" si="1"/>
        <v>22925008.20700078</v>
      </c>
      <c r="F77" s="170">
        <f t="shared" si="1"/>
        <v>22925008.20700078</v>
      </c>
      <c r="G77" s="170">
        <f t="shared" si="1"/>
        <v>22925008.20700078</v>
      </c>
      <c r="H77" s="170">
        <f t="shared" si="1"/>
        <v>22925008.20700078</v>
      </c>
      <c r="I77" s="170">
        <f t="shared" si="1"/>
        <v>22925008.20700078</v>
      </c>
    </row>
    <row r="78" ht="9.75" outlineLevel="1"/>
    <row r="79" spans="2:9" ht="9.75" outlineLevel="1">
      <c r="B79" s="2" t="s">
        <v>37</v>
      </c>
      <c r="C79" s="6" t="s">
        <v>85</v>
      </c>
      <c r="D79" s="30">
        <f aca="true" t="shared" si="2" ref="D79:I79">D54+D77</f>
        <v>153979029.8327498</v>
      </c>
      <c r="E79" s="30">
        <f t="shared" si="2"/>
        <v>153979029.8327498</v>
      </c>
      <c r="F79" s="30">
        <f t="shared" si="2"/>
        <v>153979029.8327498</v>
      </c>
      <c r="G79" s="30">
        <f t="shared" si="2"/>
        <v>153979029.8327498</v>
      </c>
      <c r="H79" s="30">
        <f t="shared" si="2"/>
        <v>153979029.8327498</v>
      </c>
      <c r="I79" s="30">
        <f t="shared" si="2"/>
        <v>153979029.8327498</v>
      </c>
    </row>
    <row r="80" ht="9.75" outlineLevel="1"/>
    <row r="81" spans="1:2" ht="9.75">
      <c r="A81" s="198" t="str">
        <f>HYPERLINK(CONCATENATE(workbookname,"$A$7"),"Top")</f>
        <v>Top</v>
      </c>
      <c r="B81" s="3" t="str">
        <f>Contents!B99</f>
        <v>Lease Expenses</v>
      </c>
    </row>
    <row r="82" ht="9.75">
      <c r="B82" s="171" t="str">
        <f>Contents!D89</f>
        <v>The different types of lease expenses allocated towards floor costing</v>
      </c>
    </row>
    <row r="83" spans="2:9" ht="9.75" outlineLevel="1">
      <c r="B83" s="171" t="s">
        <v>240</v>
      </c>
      <c r="D83" s="113">
        <f>1</f>
        <v>1</v>
      </c>
      <c r="E83" s="113">
        <f>D83*(1+inflation)</f>
        <v>1.03</v>
      </c>
      <c r="F83" s="113">
        <f>E83*(1+inflation)</f>
        <v>1.0609</v>
      </c>
      <c r="G83" s="113">
        <f>F83*(1+inflation)</f>
        <v>1.092727</v>
      </c>
      <c r="H83" s="113">
        <f>G83*(1+inflation)</f>
        <v>1.1255088100000001</v>
      </c>
      <c r="I83" s="113">
        <f>H83*(1+inflation)</f>
        <v>1.1592740743</v>
      </c>
    </row>
    <row r="84" ht="9.75" outlineLevel="1"/>
    <row r="85" ht="9.75" outlineLevel="1">
      <c r="B85" s="2" t="s">
        <v>241</v>
      </c>
    </row>
    <row r="86" spans="2:9" ht="9.75" outlineLevel="1">
      <c r="B86" s="22" t="str">
        <f>rail1</f>
        <v>Cloudbreak to Port Dumper</v>
      </c>
      <c r="C86" s="6" t="s">
        <v>85</v>
      </c>
      <c r="D86" s="8">
        <f>'Rail Asset Calcs'!$L10*D$83</f>
        <v>0</v>
      </c>
      <c r="E86" s="8">
        <f>'Rail Asset Calcs'!$L10*E$83</f>
        <v>0</v>
      </c>
      <c r="F86" s="8">
        <f>'Rail Asset Calcs'!$L10*F$83</f>
        <v>0</v>
      </c>
      <c r="G86" s="8">
        <f>'Rail Asset Calcs'!$L10*G$83</f>
        <v>0</v>
      </c>
      <c r="H86" s="8">
        <f>'Rail Asset Calcs'!$L10*H$83</f>
        <v>0</v>
      </c>
      <c r="I86" s="8">
        <f>'Rail Asset Calcs'!$L10*I$83</f>
        <v>0</v>
      </c>
    </row>
    <row r="87" spans="2:9" ht="9.75" outlineLevel="1">
      <c r="B87" s="22" t="str">
        <f>rail2</f>
        <v>Route 2</v>
      </c>
      <c r="C87" s="6" t="s">
        <v>85</v>
      </c>
      <c r="D87" s="8">
        <f>'Rail Asset Calcs'!$L11*D$83</f>
        <v>0</v>
      </c>
      <c r="E87" s="8">
        <f>'Rail Asset Calcs'!$L11*E$83</f>
        <v>0</v>
      </c>
      <c r="F87" s="8">
        <f>'Rail Asset Calcs'!$L11*F$83</f>
        <v>0</v>
      </c>
      <c r="G87" s="8">
        <f>'Rail Asset Calcs'!$L11*G$83</f>
        <v>0</v>
      </c>
      <c r="H87" s="8">
        <f>'Rail Asset Calcs'!$L11*H$83</f>
        <v>0</v>
      </c>
      <c r="I87" s="8">
        <f>'Rail Asset Calcs'!$L11*I$83</f>
        <v>0</v>
      </c>
    </row>
    <row r="88" spans="2:9" ht="9.75" outlineLevel="1">
      <c r="B88" s="22" t="str">
        <f>rail3</f>
        <v>Route 3</v>
      </c>
      <c r="C88" s="6" t="s">
        <v>85</v>
      </c>
      <c r="D88" s="8">
        <f>'Rail Asset Calcs'!$L12*D$83</f>
        <v>0</v>
      </c>
      <c r="E88" s="8">
        <f>'Rail Asset Calcs'!$L12*E$83</f>
        <v>0</v>
      </c>
      <c r="F88" s="8">
        <f>'Rail Asset Calcs'!$L12*F$83</f>
        <v>0</v>
      </c>
      <c r="G88" s="8">
        <f>'Rail Asset Calcs'!$L12*G$83</f>
        <v>0</v>
      </c>
      <c r="H88" s="8">
        <f>'Rail Asset Calcs'!$L12*H$83</f>
        <v>0</v>
      </c>
      <c r="I88" s="8">
        <f>'Rail Asset Calcs'!$L12*I$83</f>
        <v>0</v>
      </c>
    </row>
    <row r="89" spans="2:9" ht="9.75" outlineLevel="1">
      <c r="B89" s="22" t="str">
        <f>rail4</f>
        <v>Route 4</v>
      </c>
      <c r="C89" s="6" t="s">
        <v>85</v>
      </c>
      <c r="D89" s="8">
        <f>'Rail Asset Calcs'!$L13*D$83</f>
        <v>0</v>
      </c>
      <c r="E89" s="8">
        <f>'Rail Asset Calcs'!$L13*E$83</f>
        <v>0</v>
      </c>
      <c r="F89" s="8">
        <f>'Rail Asset Calcs'!$L13*F$83</f>
        <v>0</v>
      </c>
      <c r="G89" s="8">
        <f>'Rail Asset Calcs'!$L13*G$83</f>
        <v>0</v>
      </c>
      <c r="H89" s="8">
        <f>'Rail Asset Calcs'!$L13*H$83</f>
        <v>0</v>
      </c>
      <c r="I89" s="8">
        <f>'Rail Asset Calcs'!$L13*I$83</f>
        <v>0</v>
      </c>
    </row>
    <row r="90" spans="2:9" ht="9.75" outlineLevel="1">
      <c r="B90" s="22" t="str">
        <f>rail5</f>
        <v>Route 5</v>
      </c>
      <c r="C90" s="6" t="s">
        <v>85</v>
      </c>
      <c r="D90" s="8">
        <f>'Rail Asset Calcs'!$L14*D$83</f>
        <v>0</v>
      </c>
      <c r="E90" s="8">
        <f>'Rail Asset Calcs'!$L14*E$83</f>
        <v>0</v>
      </c>
      <c r="F90" s="8">
        <f>'Rail Asset Calcs'!$L14*F$83</f>
        <v>0</v>
      </c>
      <c r="G90" s="8">
        <f>'Rail Asset Calcs'!$L14*G$83</f>
        <v>0</v>
      </c>
      <c r="H90" s="8">
        <f>'Rail Asset Calcs'!$L14*H$83</f>
        <v>0</v>
      </c>
      <c r="I90" s="8">
        <f>'Rail Asset Calcs'!$L14*I$83</f>
        <v>0</v>
      </c>
    </row>
    <row r="91" spans="2:9" ht="9.75" outlineLevel="1">
      <c r="B91" s="22" t="str">
        <f>rail6</f>
        <v>Route 6</v>
      </c>
      <c r="C91" s="6" t="s">
        <v>85</v>
      </c>
      <c r="D91" s="8">
        <f>'Rail Asset Calcs'!$L15*D$83</f>
        <v>0</v>
      </c>
      <c r="E91" s="8">
        <f>'Rail Asset Calcs'!$L15*E$83</f>
        <v>0</v>
      </c>
      <c r="F91" s="8">
        <f>'Rail Asset Calcs'!$L15*F$83</f>
        <v>0</v>
      </c>
      <c r="G91" s="8">
        <f>'Rail Asset Calcs'!$L15*G$83</f>
        <v>0</v>
      </c>
      <c r="H91" s="8">
        <f>'Rail Asset Calcs'!$L15*H$83</f>
        <v>0</v>
      </c>
      <c r="I91" s="8">
        <f>'Rail Asset Calcs'!$L15*I$83</f>
        <v>0</v>
      </c>
    </row>
    <row r="92" spans="2:9" ht="9.75" outlineLevel="1">
      <c r="B92" s="22" t="str">
        <f>rail7</f>
        <v>Route 7</v>
      </c>
      <c r="C92" s="6" t="s">
        <v>85</v>
      </c>
      <c r="D92" s="8">
        <f>'Rail Asset Calcs'!$L16*D$83</f>
        <v>0</v>
      </c>
      <c r="E92" s="8">
        <f>'Rail Asset Calcs'!$L16*E$83</f>
        <v>0</v>
      </c>
      <c r="F92" s="8">
        <f>'Rail Asset Calcs'!$L16*F$83</f>
        <v>0</v>
      </c>
      <c r="G92" s="8">
        <f>'Rail Asset Calcs'!$L16*G$83</f>
        <v>0</v>
      </c>
      <c r="H92" s="8">
        <f>'Rail Asset Calcs'!$L16*H$83</f>
        <v>0</v>
      </c>
      <c r="I92" s="8">
        <f>'Rail Asset Calcs'!$L16*I$83</f>
        <v>0</v>
      </c>
    </row>
    <row r="93" spans="2:9" ht="9.75" outlineLevel="1">
      <c r="B93" s="22" t="str">
        <f>rail8</f>
        <v>Route 8</v>
      </c>
      <c r="C93" s="6" t="s">
        <v>85</v>
      </c>
      <c r="D93" s="8">
        <f>'Rail Asset Calcs'!$L17*D$83</f>
        <v>0</v>
      </c>
      <c r="E93" s="8">
        <f>'Rail Asset Calcs'!$L17*E$83</f>
        <v>0</v>
      </c>
      <c r="F93" s="8">
        <f>'Rail Asset Calcs'!$L17*F$83</f>
        <v>0</v>
      </c>
      <c r="G93" s="8">
        <f>'Rail Asset Calcs'!$L17*G$83</f>
        <v>0</v>
      </c>
      <c r="H93" s="8">
        <f>'Rail Asset Calcs'!$L17*H$83</f>
        <v>0</v>
      </c>
      <c r="I93" s="8">
        <f>'Rail Asset Calcs'!$L17*I$83</f>
        <v>0</v>
      </c>
    </row>
    <row r="94" spans="2:9" ht="9.75" outlineLevel="1">
      <c r="B94" s="22" t="str">
        <f>rail9</f>
        <v>Route 9</v>
      </c>
      <c r="C94" s="6" t="s">
        <v>85</v>
      </c>
      <c r="D94" s="8">
        <f>'Rail Asset Calcs'!$L18*D$83</f>
        <v>0</v>
      </c>
      <c r="E94" s="8">
        <f>'Rail Asset Calcs'!$L18*E$83</f>
        <v>0</v>
      </c>
      <c r="F94" s="8">
        <f>'Rail Asset Calcs'!$L18*F$83</f>
        <v>0</v>
      </c>
      <c r="G94" s="8">
        <f>'Rail Asset Calcs'!$L18*G$83</f>
        <v>0</v>
      </c>
      <c r="H94" s="8">
        <f>'Rail Asset Calcs'!$L18*H$83</f>
        <v>0</v>
      </c>
      <c r="I94" s="8">
        <f>'Rail Asset Calcs'!$L18*I$83</f>
        <v>0</v>
      </c>
    </row>
    <row r="95" spans="2:9" ht="9.75" outlineLevel="1">
      <c r="B95" s="22" t="str">
        <f>rail10</f>
        <v>Route 10</v>
      </c>
      <c r="C95" s="6" t="s">
        <v>85</v>
      </c>
      <c r="D95" s="8">
        <f>'Rail Asset Calcs'!$L19*D$83</f>
        <v>0</v>
      </c>
      <c r="E95" s="8">
        <f>'Rail Asset Calcs'!$L19*E$83</f>
        <v>0</v>
      </c>
      <c r="F95" s="8">
        <f>'Rail Asset Calcs'!$L19*F$83</f>
        <v>0</v>
      </c>
      <c r="G95" s="8">
        <f>'Rail Asset Calcs'!$L19*G$83</f>
        <v>0</v>
      </c>
      <c r="H95" s="8">
        <f>'Rail Asset Calcs'!$L19*H$83</f>
        <v>0</v>
      </c>
      <c r="I95" s="8">
        <f>'Rail Asset Calcs'!$L19*I$83</f>
        <v>0</v>
      </c>
    </row>
    <row r="96" spans="2:9" ht="9.75" outlineLevel="1">
      <c r="B96" s="22" t="str">
        <f>rail11</f>
        <v>Route 11</v>
      </c>
      <c r="C96" s="6" t="s">
        <v>85</v>
      </c>
      <c r="D96" s="8">
        <f>'Rail Asset Calcs'!$L20*D$83</f>
        <v>0</v>
      </c>
      <c r="E96" s="8">
        <f>'Rail Asset Calcs'!$L20*E$83</f>
        <v>0</v>
      </c>
      <c r="F96" s="8">
        <f>'Rail Asset Calcs'!$L20*F$83</f>
        <v>0</v>
      </c>
      <c r="G96" s="8">
        <f>'Rail Asset Calcs'!$L20*G$83</f>
        <v>0</v>
      </c>
      <c r="H96" s="8">
        <f>'Rail Asset Calcs'!$L20*H$83</f>
        <v>0</v>
      </c>
      <c r="I96" s="8">
        <f>'Rail Asset Calcs'!$L20*I$83</f>
        <v>0</v>
      </c>
    </row>
    <row r="97" spans="2:9" ht="9.75" outlineLevel="1">
      <c r="B97" s="22" t="str">
        <f>rail12</f>
        <v>Route 12</v>
      </c>
      <c r="C97" s="6" t="s">
        <v>85</v>
      </c>
      <c r="D97" s="8">
        <f>'Rail Asset Calcs'!$L21*D$83</f>
        <v>0</v>
      </c>
      <c r="E97" s="8">
        <f>'Rail Asset Calcs'!$L21*E$83</f>
        <v>0</v>
      </c>
      <c r="F97" s="8">
        <f>'Rail Asset Calcs'!$L21*F$83</f>
        <v>0</v>
      </c>
      <c r="G97" s="8">
        <f>'Rail Asset Calcs'!$L21*G$83</f>
        <v>0</v>
      </c>
      <c r="H97" s="8">
        <f>'Rail Asset Calcs'!$L21*H$83</f>
        <v>0</v>
      </c>
      <c r="I97" s="8">
        <f>'Rail Asset Calcs'!$L21*I$83</f>
        <v>0</v>
      </c>
    </row>
    <row r="98" spans="2:9" ht="9.75" outlineLevel="1">
      <c r="B98" s="22" t="str">
        <f>rail13</f>
        <v>Route 13</v>
      </c>
      <c r="C98" s="6" t="s">
        <v>85</v>
      </c>
      <c r="D98" s="8">
        <f>'Rail Asset Calcs'!$L22*D$83</f>
        <v>0</v>
      </c>
      <c r="E98" s="8">
        <f>'Rail Asset Calcs'!$L22*E$83</f>
        <v>0</v>
      </c>
      <c r="F98" s="8">
        <f>'Rail Asset Calcs'!$L22*F$83</f>
        <v>0</v>
      </c>
      <c r="G98" s="8">
        <f>'Rail Asset Calcs'!$L22*G$83</f>
        <v>0</v>
      </c>
      <c r="H98" s="8">
        <f>'Rail Asset Calcs'!$L22*H$83</f>
        <v>0</v>
      </c>
      <c r="I98" s="8">
        <f>'Rail Asset Calcs'!$L22*I$83</f>
        <v>0</v>
      </c>
    </row>
    <row r="99" spans="2:9" ht="9.75" outlineLevel="1">
      <c r="B99" s="22" t="str">
        <f>rail14</f>
        <v>Route 14</v>
      </c>
      <c r="C99" s="6" t="s">
        <v>85</v>
      </c>
      <c r="D99" s="8">
        <f>'Rail Asset Calcs'!$L23*D$83</f>
        <v>0</v>
      </c>
      <c r="E99" s="8">
        <f>'Rail Asset Calcs'!$L23*E$83</f>
        <v>0</v>
      </c>
      <c r="F99" s="8">
        <f>'Rail Asset Calcs'!$L23*F$83</f>
        <v>0</v>
      </c>
      <c r="G99" s="8">
        <f>'Rail Asset Calcs'!$L23*G$83</f>
        <v>0</v>
      </c>
      <c r="H99" s="8">
        <f>'Rail Asset Calcs'!$L23*H$83</f>
        <v>0</v>
      </c>
      <c r="I99" s="8">
        <f>'Rail Asset Calcs'!$L23*I$83</f>
        <v>0</v>
      </c>
    </row>
    <row r="100" spans="2:9" ht="9.75" outlineLevel="1">
      <c r="B100" s="22" t="str">
        <f>rail15</f>
        <v>Route 15</v>
      </c>
      <c r="C100" s="6" t="s">
        <v>85</v>
      </c>
      <c r="D100" s="8">
        <f>'Rail Asset Calcs'!$L24*D$83</f>
        <v>0</v>
      </c>
      <c r="E100" s="8">
        <f>'Rail Asset Calcs'!$L24*E$83</f>
        <v>0</v>
      </c>
      <c r="F100" s="8">
        <f>'Rail Asset Calcs'!$L24*F$83</f>
        <v>0</v>
      </c>
      <c r="G100" s="8">
        <f>'Rail Asset Calcs'!$L24*G$83</f>
        <v>0</v>
      </c>
      <c r="H100" s="8">
        <f>'Rail Asset Calcs'!$L24*H$83</f>
        <v>0</v>
      </c>
      <c r="I100" s="8">
        <f>'Rail Asset Calcs'!$L24*I$83</f>
        <v>0</v>
      </c>
    </row>
    <row r="101" spans="2:9" ht="9.75" outlineLevel="1">
      <c r="B101" s="22" t="str">
        <f>rail16</f>
        <v>Route 16</v>
      </c>
      <c r="C101" s="6" t="s">
        <v>85</v>
      </c>
      <c r="D101" s="8">
        <f>'Rail Asset Calcs'!$L25*D$83</f>
        <v>0</v>
      </c>
      <c r="E101" s="8">
        <f>'Rail Asset Calcs'!$L25*E$83</f>
        <v>0</v>
      </c>
      <c r="F101" s="8">
        <f>'Rail Asset Calcs'!$L25*F$83</f>
        <v>0</v>
      </c>
      <c r="G101" s="8">
        <f>'Rail Asset Calcs'!$L25*G$83</f>
        <v>0</v>
      </c>
      <c r="H101" s="8">
        <f>'Rail Asset Calcs'!$L25*H$83</f>
        <v>0</v>
      </c>
      <c r="I101" s="8">
        <f>'Rail Asset Calcs'!$L25*I$83</f>
        <v>0</v>
      </c>
    </row>
    <row r="102" spans="2:9" ht="9.75" outlineLevel="1">
      <c r="B102" s="22" t="str">
        <f>rail17</f>
        <v>Route 17</v>
      </c>
      <c r="C102" s="6" t="s">
        <v>85</v>
      </c>
      <c r="D102" s="8">
        <f>'Rail Asset Calcs'!$L26*D$83</f>
        <v>0</v>
      </c>
      <c r="E102" s="8">
        <f>'Rail Asset Calcs'!$L26*E$83</f>
        <v>0</v>
      </c>
      <c r="F102" s="8">
        <f>'Rail Asset Calcs'!$L26*F$83</f>
        <v>0</v>
      </c>
      <c r="G102" s="8">
        <f>'Rail Asset Calcs'!$L26*G$83</f>
        <v>0</v>
      </c>
      <c r="H102" s="8">
        <f>'Rail Asset Calcs'!$L26*H$83</f>
        <v>0</v>
      </c>
      <c r="I102" s="8">
        <f>'Rail Asset Calcs'!$L26*I$83</f>
        <v>0</v>
      </c>
    </row>
    <row r="103" spans="2:9" ht="9.75" outlineLevel="1">
      <c r="B103" s="22" t="str">
        <f>rail18</f>
        <v>Route 18</v>
      </c>
      <c r="C103" s="6" t="s">
        <v>85</v>
      </c>
      <c r="D103" s="8">
        <f>'Rail Asset Calcs'!$L27*D$83</f>
        <v>0</v>
      </c>
      <c r="E103" s="8">
        <f>'Rail Asset Calcs'!$L27*E$83</f>
        <v>0</v>
      </c>
      <c r="F103" s="8">
        <f>'Rail Asset Calcs'!$L27*F$83</f>
        <v>0</v>
      </c>
      <c r="G103" s="8">
        <f>'Rail Asset Calcs'!$L27*G$83</f>
        <v>0</v>
      </c>
      <c r="H103" s="8">
        <f>'Rail Asset Calcs'!$L27*H$83</f>
        <v>0</v>
      </c>
      <c r="I103" s="8">
        <f>'Rail Asset Calcs'!$L27*I$83</f>
        <v>0</v>
      </c>
    </row>
    <row r="104" spans="2:9" ht="9.75" outlineLevel="1">
      <c r="B104" s="22" t="str">
        <f>rail19</f>
        <v>Route 19</v>
      </c>
      <c r="C104" s="6" t="s">
        <v>85</v>
      </c>
      <c r="D104" s="8">
        <f>'Rail Asset Calcs'!$L28*D$83</f>
        <v>0</v>
      </c>
      <c r="E104" s="8">
        <f>'Rail Asset Calcs'!$L28*E$83</f>
        <v>0</v>
      </c>
      <c r="F104" s="8">
        <f>'Rail Asset Calcs'!$L28*F$83</f>
        <v>0</v>
      </c>
      <c r="G104" s="8">
        <f>'Rail Asset Calcs'!$L28*G$83</f>
        <v>0</v>
      </c>
      <c r="H104" s="8">
        <f>'Rail Asset Calcs'!$L28*H$83</f>
        <v>0</v>
      </c>
      <c r="I104" s="8">
        <f>'Rail Asset Calcs'!$L28*I$83</f>
        <v>0</v>
      </c>
    </row>
    <row r="105" spans="2:9" ht="9.75" outlineLevel="1">
      <c r="B105" s="22" t="str">
        <f>rail20</f>
        <v>Route 20</v>
      </c>
      <c r="C105" s="6" t="s">
        <v>85</v>
      </c>
      <c r="D105" s="8">
        <f>'Rail Asset Calcs'!$L29*D$83</f>
        <v>0</v>
      </c>
      <c r="E105" s="8">
        <f>'Rail Asset Calcs'!$L29*E$83</f>
        <v>0</v>
      </c>
      <c r="F105" s="8">
        <f>'Rail Asset Calcs'!$L29*F$83</f>
        <v>0</v>
      </c>
      <c r="G105" s="8">
        <f>'Rail Asset Calcs'!$L29*G$83</f>
        <v>0</v>
      </c>
      <c r="H105" s="8">
        <f>'Rail Asset Calcs'!$L29*H$83</f>
        <v>0</v>
      </c>
      <c r="I105" s="8">
        <f>'Rail Asset Calcs'!$L29*I$83</f>
        <v>0</v>
      </c>
    </row>
    <row r="106" spans="2:9" ht="9.75" outlineLevel="1">
      <c r="B106" s="1" t="s">
        <v>250</v>
      </c>
      <c r="C106" s="6" t="s">
        <v>85</v>
      </c>
      <c r="D106" s="170">
        <f aca="true" t="shared" si="3" ref="D106:I106">SUM(D86:D105)</f>
        <v>0</v>
      </c>
      <c r="E106" s="170">
        <f t="shared" si="3"/>
        <v>0</v>
      </c>
      <c r="F106" s="170">
        <f t="shared" si="3"/>
        <v>0</v>
      </c>
      <c r="G106" s="170">
        <f t="shared" si="3"/>
        <v>0</v>
      </c>
      <c r="H106" s="170">
        <f t="shared" si="3"/>
        <v>0</v>
      </c>
      <c r="I106" s="170">
        <f t="shared" si="3"/>
        <v>0</v>
      </c>
    </row>
    <row r="107" ht="9.75" outlineLevel="1"/>
    <row r="108" ht="9.75" outlineLevel="1">
      <c r="B108" s="2" t="s">
        <v>242</v>
      </c>
    </row>
    <row r="109" spans="2:9" ht="9.75" outlineLevel="1">
      <c r="B109" s="22" t="str">
        <f>rail1</f>
        <v>Cloudbreak to Port Dumper</v>
      </c>
      <c r="C109" s="6" t="s">
        <v>85</v>
      </c>
      <c r="D109" s="8">
        <f>'Rail Asset Calcs'!$M10*D$83</f>
        <v>0</v>
      </c>
      <c r="E109" s="8">
        <f>'Rail Asset Calcs'!$M10*E$83</f>
        <v>0</v>
      </c>
      <c r="F109" s="8">
        <f>'Rail Asset Calcs'!$M10*F$83</f>
        <v>0</v>
      </c>
      <c r="G109" s="8">
        <f>'Rail Asset Calcs'!$M10*G$83</f>
        <v>0</v>
      </c>
      <c r="H109" s="8">
        <f>'Rail Asset Calcs'!$M10*H$83</f>
        <v>0</v>
      </c>
      <c r="I109" s="8">
        <f>'Rail Asset Calcs'!$M10*I$83</f>
        <v>0</v>
      </c>
    </row>
    <row r="110" spans="2:9" ht="9.75" outlineLevel="1">
      <c r="B110" s="22" t="str">
        <f>rail2</f>
        <v>Route 2</v>
      </c>
      <c r="C110" s="6" t="s">
        <v>85</v>
      </c>
      <c r="D110" s="8">
        <f>'Rail Asset Calcs'!$M11*D$83</f>
        <v>0</v>
      </c>
      <c r="E110" s="8">
        <f>'Rail Asset Calcs'!$M11*E$83</f>
        <v>0</v>
      </c>
      <c r="F110" s="8">
        <f>'Rail Asset Calcs'!$M11*F$83</f>
        <v>0</v>
      </c>
      <c r="G110" s="8">
        <f>'Rail Asset Calcs'!$M11*G$83</f>
        <v>0</v>
      </c>
      <c r="H110" s="8">
        <f>'Rail Asset Calcs'!$M11*H$83</f>
        <v>0</v>
      </c>
      <c r="I110" s="8">
        <f>'Rail Asset Calcs'!$M11*I$83</f>
        <v>0</v>
      </c>
    </row>
    <row r="111" spans="2:9" ht="9.75" outlineLevel="1">
      <c r="B111" s="22" t="str">
        <f>rail3</f>
        <v>Route 3</v>
      </c>
      <c r="C111" s="6" t="s">
        <v>85</v>
      </c>
      <c r="D111" s="8">
        <f>'Rail Asset Calcs'!$M12*D$83</f>
        <v>0</v>
      </c>
      <c r="E111" s="8">
        <f>'Rail Asset Calcs'!$M12*E$83</f>
        <v>0</v>
      </c>
      <c r="F111" s="8">
        <f>'Rail Asset Calcs'!$M12*F$83</f>
        <v>0</v>
      </c>
      <c r="G111" s="8">
        <f>'Rail Asset Calcs'!$M12*G$83</f>
        <v>0</v>
      </c>
      <c r="H111" s="8">
        <f>'Rail Asset Calcs'!$M12*H$83</f>
        <v>0</v>
      </c>
      <c r="I111" s="8">
        <f>'Rail Asset Calcs'!$M12*I$83</f>
        <v>0</v>
      </c>
    </row>
    <row r="112" spans="2:9" ht="9.75" outlineLevel="1">
      <c r="B112" s="22" t="str">
        <f>rail4</f>
        <v>Route 4</v>
      </c>
      <c r="C112" s="6" t="s">
        <v>85</v>
      </c>
      <c r="D112" s="8">
        <f>'Rail Asset Calcs'!$M13*D$83</f>
        <v>0</v>
      </c>
      <c r="E112" s="8">
        <f>'Rail Asset Calcs'!$M13*E$83</f>
        <v>0</v>
      </c>
      <c r="F112" s="8">
        <f>'Rail Asset Calcs'!$M13*F$83</f>
        <v>0</v>
      </c>
      <c r="G112" s="8">
        <f>'Rail Asset Calcs'!$M13*G$83</f>
        <v>0</v>
      </c>
      <c r="H112" s="8">
        <f>'Rail Asset Calcs'!$M13*H$83</f>
        <v>0</v>
      </c>
      <c r="I112" s="8">
        <f>'Rail Asset Calcs'!$M13*I$83</f>
        <v>0</v>
      </c>
    </row>
    <row r="113" spans="2:9" ht="9.75" outlineLevel="1">
      <c r="B113" s="22" t="str">
        <f>rail5</f>
        <v>Route 5</v>
      </c>
      <c r="C113" s="6" t="s">
        <v>85</v>
      </c>
      <c r="D113" s="8">
        <f>'Rail Asset Calcs'!$M14*D$83</f>
        <v>0</v>
      </c>
      <c r="E113" s="8">
        <f>'Rail Asset Calcs'!$M14*E$83</f>
        <v>0</v>
      </c>
      <c r="F113" s="8">
        <f>'Rail Asset Calcs'!$M14*F$83</f>
        <v>0</v>
      </c>
      <c r="G113" s="8">
        <f>'Rail Asset Calcs'!$M14*G$83</f>
        <v>0</v>
      </c>
      <c r="H113" s="8">
        <f>'Rail Asset Calcs'!$M14*H$83</f>
        <v>0</v>
      </c>
      <c r="I113" s="8">
        <f>'Rail Asset Calcs'!$M14*I$83</f>
        <v>0</v>
      </c>
    </row>
    <row r="114" spans="2:9" ht="9.75" outlineLevel="1">
      <c r="B114" s="22" t="str">
        <f>rail6</f>
        <v>Route 6</v>
      </c>
      <c r="C114" s="6" t="s">
        <v>85</v>
      </c>
      <c r="D114" s="8">
        <f>'Rail Asset Calcs'!$M15*D$83</f>
        <v>0</v>
      </c>
      <c r="E114" s="8">
        <f>'Rail Asset Calcs'!$M15*E$83</f>
        <v>0</v>
      </c>
      <c r="F114" s="8">
        <f>'Rail Asset Calcs'!$M15*F$83</f>
        <v>0</v>
      </c>
      <c r="G114" s="8">
        <f>'Rail Asset Calcs'!$M15*G$83</f>
        <v>0</v>
      </c>
      <c r="H114" s="8">
        <f>'Rail Asset Calcs'!$M15*H$83</f>
        <v>0</v>
      </c>
      <c r="I114" s="8">
        <f>'Rail Asset Calcs'!$M15*I$83</f>
        <v>0</v>
      </c>
    </row>
    <row r="115" spans="2:9" ht="9.75" outlineLevel="1">
      <c r="B115" s="22" t="str">
        <f>rail7</f>
        <v>Route 7</v>
      </c>
      <c r="C115" s="6" t="s">
        <v>85</v>
      </c>
      <c r="D115" s="8">
        <f>'Rail Asset Calcs'!$M16*D$83</f>
        <v>0</v>
      </c>
      <c r="E115" s="8">
        <f>'Rail Asset Calcs'!$M16*E$83</f>
        <v>0</v>
      </c>
      <c r="F115" s="8">
        <f>'Rail Asset Calcs'!$M16*F$83</f>
        <v>0</v>
      </c>
      <c r="G115" s="8">
        <f>'Rail Asset Calcs'!$M16*G$83</f>
        <v>0</v>
      </c>
      <c r="H115" s="8">
        <f>'Rail Asset Calcs'!$M16*H$83</f>
        <v>0</v>
      </c>
      <c r="I115" s="8">
        <f>'Rail Asset Calcs'!$M16*I$83</f>
        <v>0</v>
      </c>
    </row>
    <row r="116" spans="2:9" ht="9.75" outlineLevel="1">
      <c r="B116" s="22" t="str">
        <f>rail8</f>
        <v>Route 8</v>
      </c>
      <c r="C116" s="6" t="s">
        <v>85</v>
      </c>
      <c r="D116" s="8">
        <f>'Rail Asset Calcs'!$M17*D$83</f>
        <v>0</v>
      </c>
      <c r="E116" s="8">
        <f>'Rail Asset Calcs'!$M17*E$83</f>
        <v>0</v>
      </c>
      <c r="F116" s="8">
        <f>'Rail Asset Calcs'!$M17*F$83</f>
        <v>0</v>
      </c>
      <c r="G116" s="8">
        <f>'Rail Asset Calcs'!$M17*G$83</f>
        <v>0</v>
      </c>
      <c r="H116" s="8">
        <f>'Rail Asset Calcs'!$M17*H$83</f>
        <v>0</v>
      </c>
      <c r="I116" s="8">
        <f>'Rail Asset Calcs'!$M17*I$83</f>
        <v>0</v>
      </c>
    </row>
    <row r="117" spans="2:9" ht="9.75" outlineLevel="1">
      <c r="B117" s="22" t="str">
        <f>rail9</f>
        <v>Route 9</v>
      </c>
      <c r="C117" s="6" t="s">
        <v>85</v>
      </c>
      <c r="D117" s="8">
        <f>'Rail Asset Calcs'!$M18*D$83</f>
        <v>0</v>
      </c>
      <c r="E117" s="8">
        <f>'Rail Asset Calcs'!$M18*E$83</f>
        <v>0</v>
      </c>
      <c r="F117" s="8">
        <f>'Rail Asset Calcs'!$M18*F$83</f>
        <v>0</v>
      </c>
      <c r="G117" s="8">
        <f>'Rail Asset Calcs'!$M18*G$83</f>
        <v>0</v>
      </c>
      <c r="H117" s="8">
        <f>'Rail Asset Calcs'!$M18*H$83</f>
        <v>0</v>
      </c>
      <c r="I117" s="8">
        <f>'Rail Asset Calcs'!$M18*I$83</f>
        <v>0</v>
      </c>
    </row>
    <row r="118" spans="2:9" ht="9.75" outlineLevel="1">
      <c r="B118" s="22" t="str">
        <f>rail10</f>
        <v>Route 10</v>
      </c>
      <c r="C118" s="6" t="s">
        <v>85</v>
      </c>
      <c r="D118" s="8">
        <f>'Rail Asset Calcs'!$M19*D$83</f>
        <v>0</v>
      </c>
      <c r="E118" s="8">
        <f>'Rail Asset Calcs'!$M19*E$83</f>
        <v>0</v>
      </c>
      <c r="F118" s="8">
        <f>'Rail Asset Calcs'!$M19*F$83</f>
        <v>0</v>
      </c>
      <c r="G118" s="8">
        <f>'Rail Asset Calcs'!$M19*G$83</f>
        <v>0</v>
      </c>
      <c r="H118" s="8">
        <f>'Rail Asset Calcs'!$M19*H$83</f>
        <v>0</v>
      </c>
      <c r="I118" s="8">
        <f>'Rail Asset Calcs'!$M19*I$83</f>
        <v>0</v>
      </c>
    </row>
    <row r="119" spans="2:9" ht="9.75" outlineLevel="1">
      <c r="B119" s="22" t="str">
        <f>rail11</f>
        <v>Route 11</v>
      </c>
      <c r="C119" s="6" t="s">
        <v>85</v>
      </c>
      <c r="D119" s="8">
        <f>'Rail Asset Calcs'!$M20*D$83</f>
        <v>0</v>
      </c>
      <c r="E119" s="8">
        <f>'Rail Asset Calcs'!$M20*E$83</f>
        <v>0</v>
      </c>
      <c r="F119" s="8">
        <f>'Rail Asset Calcs'!$M20*F$83</f>
        <v>0</v>
      </c>
      <c r="G119" s="8">
        <f>'Rail Asset Calcs'!$M20*G$83</f>
        <v>0</v>
      </c>
      <c r="H119" s="8">
        <f>'Rail Asset Calcs'!$M20*H$83</f>
        <v>0</v>
      </c>
      <c r="I119" s="8">
        <f>'Rail Asset Calcs'!$M20*I$83</f>
        <v>0</v>
      </c>
    </row>
    <row r="120" spans="2:9" ht="9.75" outlineLevel="1">
      <c r="B120" s="22" t="str">
        <f>rail12</f>
        <v>Route 12</v>
      </c>
      <c r="C120" s="6" t="s">
        <v>85</v>
      </c>
      <c r="D120" s="8">
        <f>'Rail Asset Calcs'!$M21*D$83</f>
        <v>0</v>
      </c>
      <c r="E120" s="8">
        <f>'Rail Asset Calcs'!$M21*E$83</f>
        <v>0</v>
      </c>
      <c r="F120" s="8">
        <f>'Rail Asset Calcs'!$M21*F$83</f>
        <v>0</v>
      </c>
      <c r="G120" s="8">
        <f>'Rail Asset Calcs'!$M21*G$83</f>
        <v>0</v>
      </c>
      <c r="H120" s="8">
        <f>'Rail Asset Calcs'!$M21*H$83</f>
        <v>0</v>
      </c>
      <c r="I120" s="8">
        <f>'Rail Asset Calcs'!$M21*I$83</f>
        <v>0</v>
      </c>
    </row>
    <row r="121" spans="2:9" ht="9.75" outlineLevel="1">
      <c r="B121" s="22" t="str">
        <f>rail13</f>
        <v>Route 13</v>
      </c>
      <c r="C121" s="6" t="s">
        <v>85</v>
      </c>
      <c r="D121" s="8">
        <f>'Rail Asset Calcs'!$M22*D$83</f>
        <v>0</v>
      </c>
      <c r="E121" s="8">
        <f>'Rail Asset Calcs'!$M22*E$83</f>
        <v>0</v>
      </c>
      <c r="F121" s="8">
        <f>'Rail Asset Calcs'!$M22*F$83</f>
        <v>0</v>
      </c>
      <c r="G121" s="8">
        <f>'Rail Asset Calcs'!$M22*G$83</f>
        <v>0</v>
      </c>
      <c r="H121" s="8">
        <f>'Rail Asset Calcs'!$M22*H$83</f>
        <v>0</v>
      </c>
      <c r="I121" s="8">
        <f>'Rail Asset Calcs'!$M22*I$83</f>
        <v>0</v>
      </c>
    </row>
    <row r="122" spans="2:9" ht="9.75" outlineLevel="1">
      <c r="B122" s="22" t="str">
        <f>rail14</f>
        <v>Route 14</v>
      </c>
      <c r="C122" s="6" t="s">
        <v>85</v>
      </c>
      <c r="D122" s="8">
        <f>'Rail Asset Calcs'!$M23*D$83</f>
        <v>0</v>
      </c>
      <c r="E122" s="8">
        <f>'Rail Asset Calcs'!$M23*E$83</f>
        <v>0</v>
      </c>
      <c r="F122" s="8">
        <f>'Rail Asset Calcs'!$M23*F$83</f>
        <v>0</v>
      </c>
      <c r="G122" s="8">
        <f>'Rail Asset Calcs'!$M23*G$83</f>
        <v>0</v>
      </c>
      <c r="H122" s="8">
        <f>'Rail Asset Calcs'!$M23*H$83</f>
        <v>0</v>
      </c>
      <c r="I122" s="8">
        <f>'Rail Asset Calcs'!$M23*I$83</f>
        <v>0</v>
      </c>
    </row>
    <row r="123" spans="2:9" ht="9.75" outlineLevel="1">
      <c r="B123" s="22" t="str">
        <f>rail15</f>
        <v>Route 15</v>
      </c>
      <c r="C123" s="6" t="s">
        <v>85</v>
      </c>
      <c r="D123" s="8">
        <f>'Rail Asset Calcs'!$M24*D$83</f>
        <v>0</v>
      </c>
      <c r="E123" s="8">
        <f>'Rail Asset Calcs'!$M24*E$83</f>
        <v>0</v>
      </c>
      <c r="F123" s="8">
        <f>'Rail Asset Calcs'!$M24*F$83</f>
        <v>0</v>
      </c>
      <c r="G123" s="8">
        <f>'Rail Asset Calcs'!$M24*G$83</f>
        <v>0</v>
      </c>
      <c r="H123" s="8">
        <f>'Rail Asset Calcs'!$M24*H$83</f>
        <v>0</v>
      </c>
      <c r="I123" s="8">
        <f>'Rail Asset Calcs'!$M24*I$83</f>
        <v>0</v>
      </c>
    </row>
    <row r="124" spans="2:9" ht="9.75" outlineLevel="1">
      <c r="B124" s="22" t="str">
        <f>rail16</f>
        <v>Route 16</v>
      </c>
      <c r="C124" s="6" t="s">
        <v>85</v>
      </c>
      <c r="D124" s="8">
        <f>'Rail Asset Calcs'!$M25*D$83</f>
        <v>0</v>
      </c>
      <c r="E124" s="8">
        <f>'Rail Asset Calcs'!$M25*E$83</f>
        <v>0</v>
      </c>
      <c r="F124" s="8">
        <f>'Rail Asset Calcs'!$M25*F$83</f>
        <v>0</v>
      </c>
      <c r="G124" s="8">
        <f>'Rail Asset Calcs'!$M25*G$83</f>
        <v>0</v>
      </c>
      <c r="H124" s="8">
        <f>'Rail Asset Calcs'!$M25*H$83</f>
        <v>0</v>
      </c>
      <c r="I124" s="8">
        <f>'Rail Asset Calcs'!$M25*I$83</f>
        <v>0</v>
      </c>
    </row>
    <row r="125" spans="2:9" ht="9.75" outlineLevel="1">
      <c r="B125" s="22" t="str">
        <f>rail17</f>
        <v>Route 17</v>
      </c>
      <c r="C125" s="6" t="s">
        <v>85</v>
      </c>
      <c r="D125" s="8">
        <f>'Rail Asset Calcs'!$M26*D$83</f>
        <v>0</v>
      </c>
      <c r="E125" s="8">
        <f>'Rail Asset Calcs'!$M26*E$83</f>
        <v>0</v>
      </c>
      <c r="F125" s="8">
        <f>'Rail Asset Calcs'!$M26*F$83</f>
        <v>0</v>
      </c>
      <c r="G125" s="8">
        <f>'Rail Asset Calcs'!$M26*G$83</f>
        <v>0</v>
      </c>
      <c r="H125" s="8">
        <f>'Rail Asset Calcs'!$M26*H$83</f>
        <v>0</v>
      </c>
      <c r="I125" s="8">
        <f>'Rail Asset Calcs'!$M26*I$83</f>
        <v>0</v>
      </c>
    </row>
    <row r="126" spans="2:9" ht="9.75" outlineLevel="1">
      <c r="B126" s="22" t="str">
        <f>rail18</f>
        <v>Route 18</v>
      </c>
      <c r="C126" s="6" t="s">
        <v>85</v>
      </c>
      <c r="D126" s="8">
        <f>'Rail Asset Calcs'!$M27*D$83</f>
        <v>0</v>
      </c>
      <c r="E126" s="8">
        <f>'Rail Asset Calcs'!$M27*E$83</f>
        <v>0</v>
      </c>
      <c r="F126" s="8">
        <f>'Rail Asset Calcs'!$M27*F$83</f>
        <v>0</v>
      </c>
      <c r="G126" s="8">
        <f>'Rail Asset Calcs'!$M27*G$83</f>
        <v>0</v>
      </c>
      <c r="H126" s="8">
        <f>'Rail Asset Calcs'!$M27*H$83</f>
        <v>0</v>
      </c>
      <c r="I126" s="8">
        <f>'Rail Asset Calcs'!$M27*I$83</f>
        <v>0</v>
      </c>
    </row>
    <row r="127" spans="2:9" ht="9.75" outlineLevel="1">
      <c r="B127" s="22" t="str">
        <f>rail19</f>
        <v>Route 19</v>
      </c>
      <c r="C127" s="6" t="s">
        <v>85</v>
      </c>
      <c r="D127" s="8">
        <f>'Rail Asset Calcs'!$M28*D$83</f>
        <v>0</v>
      </c>
      <c r="E127" s="8">
        <f>'Rail Asset Calcs'!$M28*E$83</f>
        <v>0</v>
      </c>
      <c r="F127" s="8">
        <f>'Rail Asset Calcs'!$M28*F$83</f>
        <v>0</v>
      </c>
      <c r="G127" s="8">
        <f>'Rail Asset Calcs'!$M28*G$83</f>
        <v>0</v>
      </c>
      <c r="H127" s="8">
        <f>'Rail Asset Calcs'!$M28*H$83</f>
        <v>0</v>
      </c>
      <c r="I127" s="8">
        <f>'Rail Asset Calcs'!$M28*I$83</f>
        <v>0</v>
      </c>
    </row>
    <row r="128" spans="2:9" ht="9.75" outlineLevel="1">
      <c r="B128" s="22" t="str">
        <f>rail20</f>
        <v>Route 20</v>
      </c>
      <c r="C128" s="6" t="s">
        <v>85</v>
      </c>
      <c r="D128" s="8">
        <f>'Rail Asset Calcs'!$M29*D$83</f>
        <v>0</v>
      </c>
      <c r="E128" s="8">
        <f>'Rail Asset Calcs'!$M29*E$83</f>
        <v>0</v>
      </c>
      <c r="F128" s="8">
        <f>'Rail Asset Calcs'!$M29*F$83</f>
        <v>0</v>
      </c>
      <c r="G128" s="8">
        <f>'Rail Asset Calcs'!$M29*G$83</f>
        <v>0</v>
      </c>
      <c r="H128" s="8">
        <f>'Rail Asset Calcs'!$M29*H$83</f>
        <v>0</v>
      </c>
      <c r="I128" s="8">
        <f>'Rail Asset Calcs'!$M29*I$83</f>
        <v>0</v>
      </c>
    </row>
    <row r="129" spans="2:9" ht="9.75" outlineLevel="1">
      <c r="B129" s="1" t="s">
        <v>249</v>
      </c>
      <c r="C129" s="6" t="s">
        <v>85</v>
      </c>
      <c r="D129" s="170">
        <f aca="true" t="shared" si="4" ref="D129:I129">SUM(D109:D128)</f>
        <v>0</v>
      </c>
      <c r="E129" s="170">
        <f t="shared" si="4"/>
        <v>0</v>
      </c>
      <c r="F129" s="170">
        <f t="shared" si="4"/>
        <v>0</v>
      </c>
      <c r="G129" s="170">
        <f t="shared" si="4"/>
        <v>0</v>
      </c>
      <c r="H129" s="170">
        <f t="shared" si="4"/>
        <v>0</v>
      </c>
      <c r="I129" s="170">
        <f t="shared" si="4"/>
        <v>0</v>
      </c>
    </row>
    <row r="130" ht="9.75" outlineLevel="1"/>
    <row r="131" spans="2:9" ht="9.75" outlineLevel="1">
      <c r="B131" s="2" t="s">
        <v>243</v>
      </c>
      <c r="C131" s="6" t="s">
        <v>85</v>
      </c>
      <c r="D131" s="30">
        <f aca="true" t="shared" si="5" ref="D131:I131">D106+D129</f>
        <v>0</v>
      </c>
      <c r="E131" s="30">
        <f t="shared" si="5"/>
        <v>0</v>
      </c>
      <c r="F131" s="30">
        <f t="shared" si="5"/>
        <v>0</v>
      </c>
      <c r="G131" s="30">
        <f t="shared" si="5"/>
        <v>0</v>
      </c>
      <c r="H131" s="30">
        <f t="shared" si="5"/>
        <v>0</v>
      </c>
      <c r="I131" s="30">
        <f t="shared" si="5"/>
        <v>0</v>
      </c>
    </row>
    <row r="132" ht="9.75" outlineLevel="1"/>
    <row r="133" spans="1:2" ht="9.75">
      <c r="A133" s="198" t="str">
        <f>HYPERLINK(CONCATENATE(workbookname,"$A$7"),"Top")</f>
        <v>Top</v>
      </c>
      <c r="B133" s="3" t="str">
        <f>Contents!B90</f>
        <v>Capital Expenditure</v>
      </c>
    </row>
    <row r="134" ht="9.75">
      <c r="B134" s="171" t="str">
        <f>Contents!D90</f>
        <v>The different types of capital expenditure allocated towards floor costing</v>
      </c>
    </row>
    <row r="135" ht="9.75" outlineLevel="1"/>
    <row r="136" ht="9.75" outlineLevel="1">
      <c r="B136" s="2" t="s">
        <v>244</v>
      </c>
    </row>
    <row r="137" spans="2:9" ht="9.75" outlineLevel="1">
      <c r="B137" s="22" t="str">
        <f>rail1</f>
        <v>Cloudbreak to Port Dumper</v>
      </c>
      <c r="C137" s="6" t="s">
        <v>85</v>
      </c>
      <c r="D137" s="8">
        <f>'Rail Asset Calcs'!F43</f>
        <v>0</v>
      </c>
      <c r="E137" s="8">
        <f>'Rail Asset Calcs'!J43</f>
        <v>0</v>
      </c>
      <c r="F137" s="8">
        <f>'Rail Asset Calcs'!N43</f>
        <v>0</v>
      </c>
      <c r="G137" s="8">
        <f>'Rail Asset Calcs'!R43</f>
        <v>0</v>
      </c>
      <c r="H137" s="8">
        <f>'Rail Asset Calcs'!V43</f>
        <v>0</v>
      </c>
      <c r="I137" s="8">
        <f>'Rail Asset Calcs'!Z43</f>
        <v>0</v>
      </c>
    </row>
    <row r="138" spans="2:9" ht="9.75" outlineLevel="1">
      <c r="B138" s="22" t="str">
        <f>rail2</f>
        <v>Route 2</v>
      </c>
      <c r="C138" s="6" t="s">
        <v>85</v>
      </c>
      <c r="D138" s="8">
        <f>'Rail Asset Calcs'!F44</f>
        <v>0</v>
      </c>
      <c r="E138" s="8">
        <f>'Rail Asset Calcs'!J44</f>
        <v>0</v>
      </c>
      <c r="F138" s="8">
        <f>'Rail Asset Calcs'!N44</f>
        <v>0</v>
      </c>
      <c r="G138" s="8">
        <f>'Rail Asset Calcs'!R44</f>
        <v>0</v>
      </c>
      <c r="H138" s="8">
        <f>'Rail Asset Calcs'!V44</f>
        <v>0</v>
      </c>
      <c r="I138" s="8">
        <f>'Rail Asset Calcs'!Z44</f>
        <v>0</v>
      </c>
    </row>
    <row r="139" spans="2:9" ht="9.75" outlineLevel="1">
      <c r="B139" s="22" t="str">
        <f>rail3</f>
        <v>Route 3</v>
      </c>
      <c r="C139" s="6" t="s">
        <v>85</v>
      </c>
      <c r="D139" s="8">
        <f>'Rail Asset Calcs'!F45</f>
        <v>0</v>
      </c>
      <c r="E139" s="8">
        <f>'Rail Asset Calcs'!J45</f>
        <v>0</v>
      </c>
      <c r="F139" s="8">
        <f>'Rail Asset Calcs'!N45</f>
        <v>0</v>
      </c>
      <c r="G139" s="8">
        <f>'Rail Asset Calcs'!R45</f>
        <v>0</v>
      </c>
      <c r="H139" s="8">
        <f>'Rail Asset Calcs'!V45</f>
        <v>0</v>
      </c>
      <c r="I139" s="8">
        <f>'Rail Asset Calcs'!Z45</f>
        <v>0</v>
      </c>
    </row>
    <row r="140" spans="2:9" ht="9.75" outlineLevel="1">
      <c r="B140" s="22" t="str">
        <f>rail4</f>
        <v>Route 4</v>
      </c>
      <c r="C140" s="6" t="s">
        <v>85</v>
      </c>
      <c r="D140" s="8">
        <f>'Rail Asset Calcs'!F46</f>
        <v>0</v>
      </c>
      <c r="E140" s="8">
        <f>'Rail Asset Calcs'!J46</f>
        <v>0</v>
      </c>
      <c r="F140" s="8">
        <f>'Rail Asset Calcs'!N46</f>
        <v>0</v>
      </c>
      <c r="G140" s="8">
        <f>'Rail Asset Calcs'!R46</f>
        <v>0</v>
      </c>
      <c r="H140" s="8">
        <f>'Rail Asset Calcs'!V46</f>
        <v>0</v>
      </c>
      <c r="I140" s="8">
        <f>'Rail Asset Calcs'!Z46</f>
        <v>0</v>
      </c>
    </row>
    <row r="141" spans="2:9" ht="9.75" outlineLevel="1">
      <c r="B141" s="22" t="str">
        <f>rail5</f>
        <v>Route 5</v>
      </c>
      <c r="C141" s="6" t="s">
        <v>85</v>
      </c>
      <c r="D141" s="8">
        <f>'Rail Asset Calcs'!F47</f>
        <v>0</v>
      </c>
      <c r="E141" s="8">
        <f>'Rail Asset Calcs'!J47</f>
        <v>0</v>
      </c>
      <c r="F141" s="8">
        <f>'Rail Asset Calcs'!N47</f>
        <v>0</v>
      </c>
      <c r="G141" s="8">
        <f>'Rail Asset Calcs'!R47</f>
        <v>0</v>
      </c>
      <c r="H141" s="8">
        <f>'Rail Asset Calcs'!V47</f>
        <v>0</v>
      </c>
      <c r="I141" s="8">
        <f>'Rail Asset Calcs'!Z47</f>
        <v>0</v>
      </c>
    </row>
    <row r="142" spans="2:9" ht="9.75" outlineLevel="1">
      <c r="B142" s="22" t="str">
        <f>rail6</f>
        <v>Route 6</v>
      </c>
      <c r="C142" s="6" t="s">
        <v>85</v>
      </c>
      <c r="D142" s="8">
        <f>'Rail Asset Calcs'!F48</f>
        <v>0</v>
      </c>
      <c r="E142" s="8">
        <f>'Rail Asset Calcs'!J48</f>
        <v>0</v>
      </c>
      <c r="F142" s="8">
        <f>'Rail Asset Calcs'!N48</f>
        <v>0</v>
      </c>
      <c r="G142" s="8">
        <f>'Rail Asset Calcs'!R48</f>
        <v>0</v>
      </c>
      <c r="H142" s="8">
        <f>'Rail Asset Calcs'!V48</f>
        <v>0</v>
      </c>
      <c r="I142" s="8">
        <f>'Rail Asset Calcs'!Z48</f>
        <v>0</v>
      </c>
    </row>
    <row r="143" spans="2:9" ht="9.75" outlineLevel="1">
      <c r="B143" s="22" t="str">
        <f>rail7</f>
        <v>Route 7</v>
      </c>
      <c r="C143" s="6" t="s">
        <v>85</v>
      </c>
      <c r="D143" s="8">
        <f>'Rail Asset Calcs'!F49</f>
        <v>0</v>
      </c>
      <c r="E143" s="8">
        <f>'Rail Asset Calcs'!J49</f>
        <v>0</v>
      </c>
      <c r="F143" s="8">
        <f>'Rail Asset Calcs'!N49</f>
        <v>0</v>
      </c>
      <c r="G143" s="8">
        <f>'Rail Asset Calcs'!R49</f>
        <v>0</v>
      </c>
      <c r="H143" s="8">
        <f>'Rail Asset Calcs'!V49</f>
        <v>0</v>
      </c>
      <c r="I143" s="8">
        <f>'Rail Asset Calcs'!Z49</f>
        <v>0</v>
      </c>
    </row>
    <row r="144" spans="2:9" ht="9.75" outlineLevel="1">
      <c r="B144" s="22" t="str">
        <f>rail8</f>
        <v>Route 8</v>
      </c>
      <c r="C144" s="6" t="s">
        <v>85</v>
      </c>
      <c r="D144" s="8">
        <f>'Rail Asset Calcs'!F50</f>
        <v>0</v>
      </c>
      <c r="E144" s="8">
        <f>'Rail Asset Calcs'!J50</f>
        <v>0</v>
      </c>
      <c r="F144" s="8">
        <f>'Rail Asset Calcs'!N50</f>
        <v>0</v>
      </c>
      <c r="G144" s="8">
        <f>'Rail Asset Calcs'!R50</f>
        <v>0</v>
      </c>
      <c r="H144" s="8">
        <f>'Rail Asset Calcs'!V50</f>
        <v>0</v>
      </c>
      <c r="I144" s="8">
        <f>'Rail Asset Calcs'!Z50</f>
        <v>0</v>
      </c>
    </row>
    <row r="145" spans="2:9" ht="9.75" outlineLevel="1">
      <c r="B145" s="22" t="str">
        <f>rail9</f>
        <v>Route 9</v>
      </c>
      <c r="C145" s="6" t="s">
        <v>85</v>
      </c>
      <c r="D145" s="8">
        <f>'Rail Asset Calcs'!F51</f>
        <v>0</v>
      </c>
      <c r="E145" s="8">
        <f>'Rail Asset Calcs'!J51</f>
        <v>0</v>
      </c>
      <c r="F145" s="8">
        <f>'Rail Asset Calcs'!N51</f>
        <v>0</v>
      </c>
      <c r="G145" s="8">
        <f>'Rail Asset Calcs'!R51</f>
        <v>0</v>
      </c>
      <c r="H145" s="8">
        <f>'Rail Asset Calcs'!V51</f>
        <v>0</v>
      </c>
      <c r="I145" s="8">
        <f>'Rail Asset Calcs'!Z51</f>
        <v>0</v>
      </c>
    </row>
    <row r="146" spans="2:9" ht="9.75" outlineLevel="1">
      <c r="B146" s="22" t="str">
        <f>rail10</f>
        <v>Route 10</v>
      </c>
      <c r="C146" s="6" t="s">
        <v>85</v>
      </c>
      <c r="D146" s="8">
        <f>'Rail Asset Calcs'!F52</f>
        <v>0</v>
      </c>
      <c r="E146" s="8">
        <f>'Rail Asset Calcs'!J52</f>
        <v>0</v>
      </c>
      <c r="F146" s="8">
        <f>'Rail Asset Calcs'!N52</f>
        <v>0</v>
      </c>
      <c r="G146" s="8">
        <f>'Rail Asset Calcs'!R52</f>
        <v>0</v>
      </c>
      <c r="H146" s="8">
        <f>'Rail Asset Calcs'!V52</f>
        <v>0</v>
      </c>
      <c r="I146" s="8">
        <f>'Rail Asset Calcs'!Z52</f>
        <v>0</v>
      </c>
    </row>
    <row r="147" spans="2:9" ht="9.75" outlineLevel="1">
      <c r="B147" s="22" t="str">
        <f>rail11</f>
        <v>Route 11</v>
      </c>
      <c r="C147" s="6" t="s">
        <v>85</v>
      </c>
      <c r="D147" s="8">
        <f>'Rail Asset Calcs'!F53</f>
        <v>0</v>
      </c>
      <c r="E147" s="8">
        <f>'Rail Asset Calcs'!J53</f>
        <v>0</v>
      </c>
      <c r="F147" s="8">
        <f>'Rail Asset Calcs'!N53</f>
        <v>0</v>
      </c>
      <c r="G147" s="8">
        <f>'Rail Asset Calcs'!R53</f>
        <v>0</v>
      </c>
      <c r="H147" s="8">
        <f>'Rail Asset Calcs'!V53</f>
        <v>0</v>
      </c>
      <c r="I147" s="8">
        <f>'Rail Asset Calcs'!Z53</f>
        <v>0</v>
      </c>
    </row>
    <row r="148" spans="2:9" ht="9.75" outlineLevel="1">
      <c r="B148" s="22" t="str">
        <f>rail12</f>
        <v>Route 12</v>
      </c>
      <c r="C148" s="6" t="s">
        <v>85</v>
      </c>
      <c r="D148" s="8">
        <f>'Rail Asset Calcs'!F54</f>
        <v>0</v>
      </c>
      <c r="E148" s="8">
        <f>'Rail Asset Calcs'!J54</f>
        <v>0</v>
      </c>
      <c r="F148" s="8">
        <f>'Rail Asset Calcs'!N54</f>
        <v>0</v>
      </c>
      <c r="G148" s="8">
        <f>'Rail Asset Calcs'!R54</f>
        <v>0</v>
      </c>
      <c r="H148" s="8">
        <f>'Rail Asset Calcs'!V54</f>
        <v>0</v>
      </c>
      <c r="I148" s="8">
        <f>'Rail Asset Calcs'!Z54</f>
        <v>0</v>
      </c>
    </row>
    <row r="149" spans="2:9" ht="9.75" outlineLevel="1">
      <c r="B149" s="22" t="str">
        <f>rail13</f>
        <v>Route 13</v>
      </c>
      <c r="C149" s="6" t="s">
        <v>85</v>
      </c>
      <c r="D149" s="8">
        <f>'Rail Asset Calcs'!F55</f>
        <v>0</v>
      </c>
      <c r="E149" s="8">
        <f>'Rail Asset Calcs'!J55</f>
        <v>0</v>
      </c>
      <c r="F149" s="8">
        <f>'Rail Asset Calcs'!N55</f>
        <v>0</v>
      </c>
      <c r="G149" s="8">
        <f>'Rail Asset Calcs'!R55</f>
        <v>0</v>
      </c>
      <c r="H149" s="8">
        <f>'Rail Asset Calcs'!V55</f>
        <v>0</v>
      </c>
      <c r="I149" s="8">
        <f>'Rail Asset Calcs'!Z55</f>
        <v>0</v>
      </c>
    </row>
    <row r="150" spans="2:9" ht="9.75" outlineLevel="1">
      <c r="B150" s="22" t="str">
        <f>rail14</f>
        <v>Route 14</v>
      </c>
      <c r="C150" s="6" t="s">
        <v>85</v>
      </c>
      <c r="D150" s="8">
        <f>'Rail Asset Calcs'!F56</f>
        <v>0</v>
      </c>
      <c r="E150" s="8">
        <f>'Rail Asset Calcs'!J56</f>
        <v>0</v>
      </c>
      <c r="F150" s="8">
        <f>'Rail Asset Calcs'!N56</f>
        <v>0</v>
      </c>
      <c r="G150" s="8">
        <f>'Rail Asset Calcs'!R56</f>
        <v>0</v>
      </c>
      <c r="H150" s="8">
        <f>'Rail Asset Calcs'!V56</f>
        <v>0</v>
      </c>
      <c r="I150" s="8">
        <f>'Rail Asset Calcs'!Z56</f>
        <v>0</v>
      </c>
    </row>
    <row r="151" spans="2:9" ht="9.75" outlineLevel="1">
      <c r="B151" s="22" t="str">
        <f>rail15</f>
        <v>Route 15</v>
      </c>
      <c r="C151" s="6" t="s">
        <v>85</v>
      </c>
      <c r="D151" s="8">
        <f>'Rail Asset Calcs'!F57</f>
        <v>0</v>
      </c>
      <c r="E151" s="8">
        <f>'Rail Asset Calcs'!J57</f>
        <v>0</v>
      </c>
      <c r="F151" s="8">
        <f>'Rail Asset Calcs'!N57</f>
        <v>0</v>
      </c>
      <c r="G151" s="8">
        <f>'Rail Asset Calcs'!R57</f>
        <v>0</v>
      </c>
      <c r="H151" s="8">
        <f>'Rail Asset Calcs'!V57</f>
        <v>0</v>
      </c>
      <c r="I151" s="8">
        <f>'Rail Asset Calcs'!Z57</f>
        <v>0</v>
      </c>
    </row>
    <row r="152" spans="2:9" ht="9.75" outlineLevel="1">
      <c r="B152" s="22" t="str">
        <f>rail16</f>
        <v>Route 16</v>
      </c>
      <c r="C152" s="6" t="s">
        <v>85</v>
      </c>
      <c r="D152" s="8">
        <f>'Rail Asset Calcs'!F58</f>
        <v>0</v>
      </c>
      <c r="E152" s="8">
        <f>'Rail Asset Calcs'!J58</f>
        <v>0</v>
      </c>
      <c r="F152" s="8">
        <f>'Rail Asset Calcs'!N58</f>
        <v>0</v>
      </c>
      <c r="G152" s="8">
        <f>'Rail Asset Calcs'!R58</f>
        <v>0</v>
      </c>
      <c r="H152" s="8">
        <f>'Rail Asset Calcs'!V58</f>
        <v>0</v>
      </c>
      <c r="I152" s="8">
        <f>'Rail Asset Calcs'!Z58</f>
        <v>0</v>
      </c>
    </row>
    <row r="153" spans="2:9" ht="9.75" outlineLevel="1">
      <c r="B153" s="22" t="str">
        <f>rail17</f>
        <v>Route 17</v>
      </c>
      <c r="C153" s="6" t="s">
        <v>85</v>
      </c>
      <c r="D153" s="8">
        <f>'Rail Asset Calcs'!F59</f>
        <v>0</v>
      </c>
      <c r="E153" s="8">
        <f>'Rail Asset Calcs'!J59</f>
        <v>0</v>
      </c>
      <c r="F153" s="8">
        <f>'Rail Asset Calcs'!N59</f>
        <v>0</v>
      </c>
      <c r="G153" s="8">
        <f>'Rail Asset Calcs'!R59</f>
        <v>0</v>
      </c>
      <c r="H153" s="8">
        <f>'Rail Asset Calcs'!V59</f>
        <v>0</v>
      </c>
      <c r="I153" s="8">
        <f>'Rail Asset Calcs'!Z59</f>
        <v>0</v>
      </c>
    </row>
    <row r="154" spans="2:9" ht="9.75" outlineLevel="1">
      <c r="B154" s="22" t="str">
        <f>rail18</f>
        <v>Route 18</v>
      </c>
      <c r="C154" s="6" t="s">
        <v>85</v>
      </c>
      <c r="D154" s="8">
        <f>'Rail Asset Calcs'!F60</f>
        <v>0</v>
      </c>
      <c r="E154" s="8">
        <f>'Rail Asset Calcs'!J60</f>
        <v>0</v>
      </c>
      <c r="F154" s="8">
        <f>'Rail Asset Calcs'!N60</f>
        <v>0</v>
      </c>
      <c r="G154" s="8">
        <f>'Rail Asset Calcs'!R60</f>
        <v>0</v>
      </c>
      <c r="H154" s="8">
        <f>'Rail Asset Calcs'!V60</f>
        <v>0</v>
      </c>
      <c r="I154" s="8">
        <f>'Rail Asset Calcs'!Z60</f>
        <v>0</v>
      </c>
    </row>
    <row r="155" spans="2:9" ht="9.75" outlineLevel="1">
      <c r="B155" s="22" t="str">
        <f>rail19</f>
        <v>Route 19</v>
      </c>
      <c r="C155" s="6" t="s">
        <v>85</v>
      </c>
      <c r="D155" s="8">
        <f>'Rail Asset Calcs'!F61</f>
        <v>0</v>
      </c>
      <c r="E155" s="8">
        <f>'Rail Asset Calcs'!J61</f>
        <v>0</v>
      </c>
      <c r="F155" s="8">
        <f>'Rail Asset Calcs'!N61</f>
        <v>0</v>
      </c>
      <c r="G155" s="8">
        <f>'Rail Asset Calcs'!R61</f>
        <v>0</v>
      </c>
      <c r="H155" s="8">
        <f>'Rail Asset Calcs'!V61</f>
        <v>0</v>
      </c>
      <c r="I155" s="8">
        <f>'Rail Asset Calcs'!Z61</f>
        <v>0</v>
      </c>
    </row>
    <row r="156" spans="2:9" ht="9.75" outlineLevel="1">
      <c r="B156" s="22" t="str">
        <f>rail20</f>
        <v>Route 20</v>
      </c>
      <c r="C156" s="6" t="s">
        <v>85</v>
      </c>
      <c r="D156" s="8">
        <f>'Rail Asset Calcs'!F62</f>
        <v>0</v>
      </c>
      <c r="E156" s="8">
        <f>'Rail Asset Calcs'!J62</f>
        <v>0</v>
      </c>
      <c r="F156" s="8">
        <f>'Rail Asset Calcs'!N62</f>
        <v>0</v>
      </c>
      <c r="G156" s="8">
        <f>'Rail Asset Calcs'!R62</f>
        <v>0</v>
      </c>
      <c r="H156" s="8">
        <f>'Rail Asset Calcs'!V62</f>
        <v>0</v>
      </c>
      <c r="I156" s="8">
        <f>'Rail Asset Calcs'!Z62</f>
        <v>0</v>
      </c>
    </row>
    <row r="157" spans="2:9" ht="9.75" outlineLevel="1">
      <c r="B157" s="1" t="s">
        <v>248</v>
      </c>
      <c r="C157" s="6" t="s">
        <v>85</v>
      </c>
      <c r="D157" s="170">
        <f aca="true" t="shared" si="6" ref="D157:I157">SUM(D137:D156)</f>
        <v>0</v>
      </c>
      <c r="E157" s="170">
        <f t="shared" si="6"/>
        <v>0</v>
      </c>
      <c r="F157" s="170">
        <f t="shared" si="6"/>
        <v>0</v>
      </c>
      <c r="G157" s="170">
        <f t="shared" si="6"/>
        <v>0</v>
      </c>
      <c r="H157" s="170">
        <f t="shared" si="6"/>
        <v>0</v>
      </c>
      <c r="I157" s="170">
        <f t="shared" si="6"/>
        <v>0</v>
      </c>
    </row>
    <row r="158" ht="9.75" outlineLevel="1"/>
    <row r="159" ht="9.75" outlineLevel="1">
      <c r="B159" s="2" t="s">
        <v>245</v>
      </c>
    </row>
    <row r="160" spans="2:9" ht="9.75" outlineLevel="1">
      <c r="B160" s="22" t="str">
        <f>rail1</f>
        <v>Cloudbreak to Port Dumper</v>
      </c>
      <c r="C160" s="6" t="s">
        <v>85</v>
      </c>
      <c r="D160" s="8">
        <f>'Rail Asset Calcs'!G43</f>
        <v>0</v>
      </c>
      <c r="E160" s="8">
        <f>'Rail Asset Calcs'!K43</f>
        <v>0</v>
      </c>
      <c r="F160" s="8">
        <f>'Rail Asset Calcs'!O43</f>
        <v>0</v>
      </c>
      <c r="G160" s="8">
        <f>'Rail Asset Calcs'!S43</f>
        <v>0</v>
      </c>
      <c r="H160" s="8">
        <f>'Rail Asset Calcs'!W43</f>
        <v>0</v>
      </c>
      <c r="I160" s="8">
        <f>'Rail Asset Calcs'!AA43</f>
        <v>0</v>
      </c>
    </row>
    <row r="161" spans="2:9" ht="9.75" outlineLevel="1">
      <c r="B161" s="22" t="str">
        <f>rail2</f>
        <v>Route 2</v>
      </c>
      <c r="C161" s="6" t="s">
        <v>85</v>
      </c>
      <c r="D161" s="8">
        <f>'Rail Asset Calcs'!G44</f>
        <v>0</v>
      </c>
      <c r="E161" s="8">
        <f>'Rail Asset Calcs'!K44</f>
        <v>0</v>
      </c>
      <c r="F161" s="8">
        <f>'Rail Asset Calcs'!O44</f>
        <v>0</v>
      </c>
      <c r="G161" s="8">
        <f>'Rail Asset Calcs'!S44</f>
        <v>0</v>
      </c>
      <c r="H161" s="8">
        <f>'Rail Asset Calcs'!W44</f>
        <v>0</v>
      </c>
      <c r="I161" s="8">
        <f>'Rail Asset Calcs'!AA44</f>
        <v>0</v>
      </c>
    </row>
    <row r="162" spans="2:9" ht="9.75" outlineLevel="1">
      <c r="B162" s="22" t="str">
        <f>rail3</f>
        <v>Route 3</v>
      </c>
      <c r="C162" s="6" t="s">
        <v>85</v>
      </c>
      <c r="D162" s="8">
        <f>'Rail Asset Calcs'!G45</f>
        <v>0</v>
      </c>
      <c r="E162" s="8">
        <f>'Rail Asset Calcs'!K45</f>
        <v>0</v>
      </c>
      <c r="F162" s="8">
        <f>'Rail Asset Calcs'!O45</f>
        <v>0</v>
      </c>
      <c r="G162" s="8">
        <f>'Rail Asset Calcs'!S45</f>
        <v>0</v>
      </c>
      <c r="H162" s="8">
        <f>'Rail Asset Calcs'!W45</f>
        <v>0</v>
      </c>
      <c r="I162" s="8">
        <f>'Rail Asset Calcs'!AA45</f>
        <v>0</v>
      </c>
    </row>
    <row r="163" spans="2:9" ht="9.75" outlineLevel="1">
      <c r="B163" s="22" t="str">
        <f>rail4</f>
        <v>Route 4</v>
      </c>
      <c r="C163" s="6" t="s">
        <v>85</v>
      </c>
      <c r="D163" s="8">
        <f>'Rail Asset Calcs'!G46</f>
        <v>0</v>
      </c>
      <c r="E163" s="8">
        <f>'Rail Asset Calcs'!K46</f>
        <v>0</v>
      </c>
      <c r="F163" s="8">
        <f>'Rail Asset Calcs'!O46</f>
        <v>0</v>
      </c>
      <c r="G163" s="8">
        <f>'Rail Asset Calcs'!S46</f>
        <v>0</v>
      </c>
      <c r="H163" s="8">
        <f>'Rail Asset Calcs'!W46</f>
        <v>0</v>
      </c>
      <c r="I163" s="8">
        <f>'Rail Asset Calcs'!AA46</f>
        <v>0</v>
      </c>
    </row>
    <row r="164" spans="2:9" ht="9.75" outlineLevel="1">
      <c r="B164" s="22" t="str">
        <f>rail5</f>
        <v>Route 5</v>
      </c>
      <c r="C164" s="6" t="s">
        <v>85</v>
      </c>
      <c r="D164" s="8">
        <f>'Rail Asset Calcs'!G47</f>
        <v>0</v>
      </c>
      <c r="E164" s="8">
        <f>'Rail Asset Calcs'!K47</f>
        <v>0</v>
      </c>
      <c r="F164" s="8">
        <f>'Rail Asset Calcs'!O47</f>
        <v>0</v>
      </c>
      <c r="G164" s="8">
        <f>'Rail Asset Calcs'!S47</f>
        <v>0</v>
      </c>
      <c r="H164" s="8">
        <f>'Rail Asset Calcs'!W47</f>
        <v>0</v>
      </c>
      <c r="I164" s="8">
        <f>'Rail Asset Calcs'!AA47</f>
        <v>0</v>
      </c>
    </row>
    <row r="165" spans="2:9" ht="9.75" outlineLevel="1">
      <c r="B165" s="22" t="str">
        <f>rail6</f>
        <v>Route 6</v>
      </c>
      <c r="C165" s="6" t="s">
        <v>85</v>
      </c>
      <c r="D165" s="8">
        <f>'Rail Asset Calcs'!G48</f>
        <v>0</v>
      </c>
      <c r="E165" s="8">
        <f>'Rail Asset Calcs'!K48</f>
        <v>0</v>
      </c>
      <c r="F165" s="8">
        <f>'Rail Asset Calcs'!O48</f>
        <v>0</v>
      </c>
      <c r="G165" s="8">
        <f>'Rail Asset Calcs'!S48</f>
        <v>0</v>
      </c>
      <c r="H165" s="8">
        <f>'Rail Asset Calcs'!W48</f>
        <v>0</v>
      </c>
      <c r="I165" s="8">
        <f>'Rail Asset Calcs'!AA48</f>
        <v>0</v>
      </c>
    </row>
    <row r="166" spans="2:9" ht="9.75" outlineLevel="1">
      <c r="B166" s="22" t="str">
        <f>rail7</f>
        <v>Route 7</v>
      </c>
      <c r="C166" s="6" t="s">
        <v>85</v>
      </c>
      <c r="D166" s="8">
        <f>'Rail Asset Calcs'!G49</f>
        <v>0</v>
      </c>
      <c r="E166" s="8">
        <f>'Rail Asset Calcs'!K49</f>
        <v>0</v>
      </c>
      <c r="F166" s="8">
        <f>'Rail Asset Calcs'!O49</f>
        <v>0</v>
      </c>
      <c r="G166" s="8">
        <f>'Rail Asset Calcs'!S49</f>
        <v>0</v>
      </c>
      <c r="H166" s="8">
        <f>'Rail Asset Calcs'!W49</f>
        <v>0</v>
      </c>
      <c r="I166" s="8">
        <f>'Rail Asset Calcs'!AA49</f>
        <v>0</v>
      </c>
    </row>
    <row r="167" spans="2:9" ht="9.75" outlineLevel="1">
      <c r="B167" s="22" t="str">
        <f>rail8</f>
        <v>Route 8</v>
      </c>
      <c r="C167" s="6" t="s">
        <v>85</v>
      </c>
      <c r="D167" s="8">
        <f>'Rail Asset Calcs'!G50</f>
        <v>0</v>
      </c>
      <c r="E167" s="8">
        <f>'Rail Asset Calcs'!K50</f>
        <v>0</v>
      </c>
      <c r="F167" s="8">
        <f>'Rail Asset Calcs'!O50</f>
        <v>0</v>
      </c>
      <c r="G167" s="8">
        <f>'Rail Asset Calcs'!S50</f>
        <v>0</v>
      </c>
      <c r="H167" s="8">
        <f>'Rail Asset Calcs'!W50</f>
        <v>0</v>
      </c>
      <c r="I167" s="8">
        <f>'Rail Asset Calcs'!AA50</f>
        <v>0</v>
      </c>
    </row>
    <row r="168" spans="2:9" ht="9.75" outlineLevel="1">
      <c r="B168" s="22" t="str">
        <f>rail9</f>
        <v>Route 9</v>
      </c>
      <c r="C168" s="6" t="s">
        <v>85</v>
      </c>
      <c r="D168" s="8">
        <f>'Rail Asset Calcs'!G51</f>
        <v>0</v>
      </c>
      <c r="E168" s="8">
        <f>'Rail Asset Calcs'!K51</f>
        <v>0</v>
      </c>
      <c r="F168" s="8">
        <f>'Rail Asset Calcs'!O51</f>
        <v>0</v>
      </c>
      <c r="G168" s="8">
        <f>'Rail Asset Calcs'!S51</f>
        <v>0</v>
      </c>
      <c r="H168" s="8">
        <f>'Rail Asset Calcs'!W51</f>
        <v>0</v>
      </c>
      <c r="I168" s="8">
        <f>'Rail Asset Calcs'!AA51</f>
        <v>0</v>
      </c>
    </row>
    <row r="169" spans="2:9" ht="9.75" outlineLevel="1">
      <c r="B169" s="22" t="str">
        <f>rail10</f>
        <v>Route 10</v>
      </c>
      <c r="C169" s="6" t="s">
        <v>85</v>
      </c>
      <c r="D169" s="8">
        <f>'Rail Asset Calcs'!G52</f>
        <v>0</v>
      </c>
      <c r="E169" s="8">
        <f>'Rail Asset Calcs'!K52</f>
        <v>0</v>
      </c>
      <c r="F169" s="8">
        <f>'Rail Asset Calcs'!O52</f>
        <v>0</v>
      </c>
      <c r="G169" s="8">
        <f>'Rail Asset Calcs'!S52</f>
        <v>0</v>
      </c>
      <c r="H169" s="8">
        <f>'Rail Asset Calcs'!W52</f>
        <v>0</v>
      </c>
      <c r="I169" s="8">
        <f>'Rail Asset Calcs'!AA52</f>
        <v>0</v>
      </c>
    </row>
    <row r="170" spans="2:9" ht="9.75" outlineLevel="1">
      <c r="B170" s="22" t="str">
        <f>rail11</f>
        <v>Route 11</v>
      </c>
      <c r="C170" s="6" t="s">
        <v>85</v>
      </c>
      <c r="D170" s="8">
        <f>'Rail Asset Calcs'!G53</f>
        <v>0</v>
      </c>
      <c r="E170" s="8">
        <f>'Rail Asset Calcs'!K53</f>
        <v>0</v>
      </c>
      <c r="F170" s="8">
        <f>'Rail Asset Calcs'!O53</f>
        <v>0</v>
      </c>
      <c r="G170" s="8">
        <f>'Rail Asset Calcs'!S53</f>
        <v>0</v>
      </c>
      <c r="H170" s="8">
        <f>'Rail Asset Calcs'!W53</f>
        <v>0</v>
      </c>
      <c r="I170" s="8">
        <f>'Rail Asset Calcs'!AA53</f>
        <v>0</v>
      </c>
    </row>
    <row r="171" spans="2:9" ht="9.75" outlineLevel="1">
      <c r="B171" s="22" t="str">
        <f>rail12</f>
        <v>Route 12</v>
      </c>
      <c r="C171" s="6" t="s">
        <v>85</v>
      </c>
      <c r="D171" s="8">
        <f>'Rail Asset Calcs'!G54</f>
        <v>0</v>
      </c>
      <c r="E171" s="8">
        <f>'Rail Asset Calcs'!K54</f>
        <v>0</v>
      </c>
      <c r="F171" s="8">
        <f>'Rail Asset Calcs'!O54</f>
        <v>0</v>
      </c>
      <c r="G171" s="8">
        <f>'Rail Asset Calcs'!S54</f>
        <v>0</v>
      </c>
      <c r="H171" s="8">
        <f>'Rail Asset Calcs'!W54</f>
        <v>0</v>
      </c>
      <c r="I171" s="8">
        <f>'Rail Asset Calcs'!AA54</f>
        <v>0</v>
      </c>
    </row>
    <row r="172" spans="2:9" ht="9.75" outlineLevel="1">
      <c r="B172" s="22" t="str">
        <f>rail13</f>
        <v>Route 13</v>
      </c>
      <c r="C172" s="6" t="s">
        <v>85</v>
      </c>
      <c r="D172" s="8">
        <f>'Rail Asset Calcs'!G55</f>
        <v>0</v>
      </c>
      <c r="E172" s="8">
        <f>'Rail Asset Calcs'!K55</f>
        <v>0</v>
      </c>
      <c r="F172" s="8">
        <f>'Rail Asset Calcs'!O55</f>
        <v>0</v>
      </c>
      <c r="G172" s="8">
        <f>'Rail Asset Calcs'!S55</f>
        <v>0</v>
      </c>
      <c r="H172" s="8">
        <f>'Rail Asset Calcs'!W55</f>
        <v>0</v>
      </c>
      <c r="I172" s="8">
        <f>'Rail Asset Calcs'!AA55</f>
        <v>0</v>
      </c>
    </row>
    <row r="173" spans="2:9" ht="9.75" outlineLevel="1">
      <c r="B173" s="22" t="str">
        <f>rail14</f>
        <v>Route 14</v>
      </c>
      <c r="C173" s="6" t="s">
        <v>85</v>
      </c>
      <c r="D173" s="8">
        <f>'Rail Asset Calcs'!G56</f>
        <v>0</v>
      </c>
      <c r="E173" s="8">
        <f>'Rail Asset Calcs'!K56</f>
        <v>0</v>
      </c>
      <c r="F173" s="8">
        <f>'Rail Asset Calcs'!O56</f>
        <v>0</v>
      </c>
      <c r="G173" s="8">
        <f>'Rail Asset Calcs'!S56</f>
        <v>0</v>
      </c>
      <c r="H173" s="8">
        <f>'Rail Asset Calcs'!W56</f>
        <v>0</v>
      </c>
      <c r="I173" s="8">
        <f>'Rail Asset Calcs'!AA56</f>
        <v>0</v>
      </c>
    </row>
    <row r="174" spans="2:9" ht="9.75" outlineLevel="1">
      <c r="B174" s="22" t="str">
        <f>rail15</f>
        <v>Route 15</v>
      </c>
      <c r="C174" s="6" t="s">
        <v>85</v>
      </c>
      <c r="D174" s="8">
        <f>'Rail Asset Calcs'!G57</f>
        <v>0</v>
      </c>
      <c r="E174" s="8">
        <f>'Rail Asset Calcs'!K57</f>
        <v>0</v>
      </c>
      <c r="F174" s="8">
        <f>'Rail Asset Calcs'!O57</f>
        <v>0</v>
      </c>
      <c r="G174" s="8">
        <f>'Rail Asset Calcs'!S57</f>
        <v>0</v>
      </c>
      <c r="H174" s="8">
        <f>'Rail Asset Calcs'!W57</f>
        <v>0</v>
      </c>
      <c r="I174" s="8">
        <f>'Rail Asset Calcs'!AA57</f>
        <v>0</v>
      </c>
    </row>
    <row r="175" spans="2:9" ht="9.75" outlineLevel="1">
      <c r="B175" s="22" t="str">
        <f>rail16</f>
        <v>Route 16</v>
      </c>
      <c r="C175" s="6" t="s">
        <v>85</v>
      </c>
      <c r="D175" s="8">
        <f>'Rail Asset Calcs'!G58</f>
        <v>0</v>
      </c>
      <c r="E175" s="8">
        <f>'Rail Asset Calcs'!K58</f>
        <v>0</v>
      </c>
      <c r="F175" s="8">
        <f>'Rail Asset Calcs'!O58</f>
        <v>0</v>
      </c>
      <c r="G175" s="8">
        <f>'Rail Asset Calcs'!S58</f>
        <v>0</v>
      </c>
      <c r="H175" s="8">
        <f>'Rail Asset Calcs'!W58</f>
        <v>0</v>
      </c>
      <c r="I175" s="8">
        <f>'Rail Asset Calcs'!AA58</f>
        <v>0</v>
      </c>
    </row>
    <row r="176" spans="2:9" ht="9.75" outlineLevel="1">
      <c r="B176" s="22" t="str">
        <f>rail17</f>
        <v>Route 17</v>
      </c>
      <c r="C176" s="6" t="s">
        <v>85</v>
      </c>
      <c r="D176" s="8">
        <f>'Rail Asset Calcs'!G59</f>
        <v>0</v>
      </c>
      <c r="E176" s="8">
        <f>'Rail Asset Calcs'!K59</f>
        <v>0</v>
      </c>
      <c r="F176" s="8">
        <f>'Rail Asset Calcs'!O59</f>
        <v>0</v>
      </c>
      <c r="G176" s="8">
        <f>'Rail Asset Calcs'!S59</f>
        <v>0</v>
      </c>
      <c r="H176" s="8">
        <f>'Rail Asset Calcs'!W59</f>
        <v>0</v>
      </c>
      <c r="I176" s="8">
        <f>'Rail Asset Calcs'!AA59</f>
        <v>0</v>
      </c>
    </row>
    <row r="177" spans="2:9" ht="9.75" outlineLevel="1">
      <c r="B177" s="22" t="str">
        <f>rail18</f>
        <v>Route 18</v>
      </c>
      <c r="C177" s="6" t="s">
        <v>85</v>
      </c>
      <c r="D177" s="8">
        <f>'Rail Asset Calcs'!G60</f>
        <v>0</v>
      </c>
      <c r="E177" s="8">
        <f>'Rail Asset Calcs'!K60</f>
        <v>0</v>
      </c>
      <c r="F177" s="8">
        <f>'Rail Asset Calcs'!O60</f>
        <v>0</v>
      </c>
      <c r="G177" s="8">
        <f>'Rail Asset Calcs'!S60</f>
        <v>0</v>
      </c>
      <c r="H177" s="8">
        <f>'Rail Asset Calcs'!W60</f>
        <v>0</v>
      </c>
      <c r="I177" s="8">
        <f>'Rail Asset Calcs'!AA60</f>
        <v>0</v>
      </c>
    </row>
    <row r="178" spans="2:9" ht="9.75" outlineLevel="1">
      <c r="B178" s="22" t="str">
        <f>rail19</f>
        <v>Route 19</v>
      </c>
      <c r="C178" s="6" t="s">
        <v>85</v>
      </c>
      <c r="D178" s="8">
        <f>'Rail Asset Calcs'!G61</f>
        <v>0</v>
      </c>
      <c r="E178" s="8">
        <f>'Rail Asset Calcs'!K61</f>
        <v>0</v>
      </c>
      <c r="F178" s="8">
        <f>'Rail Asset Calcs'!O61</f>
        <v>0</v>
      </c>
      <c r="G178" s="8">
        <f>'Rail Asset Calcs'!S61</f>
        <v>0</v>
      </c>
      <c r="H178" s="8">
        <f>'Rail Asset Calcs'!W61</f>
        <v>0</v>
      </c>
      <c r="I178" s="8">
        <f>'Rail Asset Calcs'!AA61</f>
        <v>0</v>
      </c>
    </row>
    <row r="179" spans="2:9" ht="9.75" outlineLevel="1">
      <c r="B179" s="22" t="str">
        <f>rail20</f>
        <v>Route 20</v>
      </c>
      <c r="C179" s="6" t="s">
        <v>85</v>
      </c>
      <c r="D179" s="8">
        <f>'Rail Asset Calcs'!G62</f>
        <v>0</v>
      </c>
      <c r="E179" s="8">
        <f>'Rail Asset Calcs'!K62</f>
        <v>0</v>
      </c>
      <c r="F179" s="8">
        <f>'Rail Asset Calcs'!O62</f>
        <v>0</v>
      </c>
      <c r="G179" s="8">
        <f>'Rail Asset Calcs'!S62</f>
        <v>0</v>
      </c>
      <c r="H179" s="8">
        <f>'Rail Asset Calcs'!W62</f>
        <v>0</v>
      </c>
      <c r="I179" s="8">
        <f>'Rail Asset Calcs'!AA62</f>
        <v>0</v>
      </c>
    </row>
    <row r="180" spans="2:9" ht="9.75" outlineLevel="1">
      <c r="B180" s="1" t="s">
        <v>247</v>
      </c>
      <c r="C180" s="6" t="s">
        <v>85</v>
      </c>
      <c r="D180" s="170">
        <f aca="true" t="shared" si="7" ref="D180:I180">SUM(D160:D179)</f>
        <v>0</v>
      </c>
      <c r="E180" s="170">
        <f t="shared" si="7"/>
        <v>0</v>
      </c>
      <c r="F180" s="170">
        <f t="shared" si="7"/>
        <v>0</v>
      </c>
      <c r="G180" s="170">
        <f t="shared" si="7"/>
        <v>0</v>
      </c>
      <c r="H180" s="170">
        <f t="shared" si="7"/>
        <v>0</v>
      </c>
      <c r="I180" s="170">
        <f t="shared" si="7"/>
        <v>0</v>
      </c>
    </row>
    <row r="181" ht="9.75" outlineLevel="1"/>
    <row r="182" spans="2:9" ht="9.75" outlineLevel="1">
      <c r="B182" s="2" t="s">
        <v>45</v>
      </c>
      <c r="C182" s="6" t="s">
        <v>85</v>
      </c>
      <c r="D182" s="30">
        <f aca="true" t="shared" si="8" ref="D182:I182">D157+D180</f>
        <v>0</v>
      </c>
      <c r="E182" s="30">
        <f t="shared" si="8"/>
        <v>0</v>
      </c>
      <c r="F182" s="30">
        <f t="shared" si="8"/>
        <v>0</v>
      </c>
      <c r="G182" s="30">
        <f t="shared" si="8"/>
        <v>0</v>
      </c>
      <c r="H182" s="30">
        <f t="shared" si="8"/>
        <v>0</v>
      </c>
      <c r="I182" s="30">
        <f t="shared" si="8"/>
        <v>0</v>
      </c>
    </row>
    <row r="183" ht="9.75" outlineLevel="1"/>
    <row r="184" spans="1:2" ht="9.75">
      <c r="A184" s="198" t="str">
        <f>HYPERLINK(CONCATENATE(workbookname,"$A$7"),"Top")</f>
        <v>Top</v>
      </c>
      <c r="B184" s="3" t="str">
        <f>Contents!B91</f>
        <v>Operating Expenses</v>
      </c>
    </row>
    <row r="185" ht="9.75">
      <c r="B185" s="171" t="str">
        <f>Contents!D91</f>
        <v>The different types of operating expenses allocated towards floor costing</v>
      </c>
    </row>
    <row r="186" ht="9.75" outlineLevel="1"/>
    <row r="187" ht="9.75" outlineLevel="1">
      <c r="B187" s="2" t="s">
        <v>252</v>
      </c>
    </row>
    <row r="188" spans="2:9" ht="9.75" outlineLevel="1">
      <c r="B188" s="22" t="str">
        <f>rail1</f>
        <v>Cloudbreak to Port Dumper</v>
      </c>
      <c r="C188" s="6" t="s">
        <v>85</v>
      </c>
      <c r="D188" s="8">
        <f>'Rail Expenses'!E57</f>
        <v>17104293</v>
      </c>
      <c r="E188" s="8">
        <f>'Rail Expenses'!F57</f>
        <v>17617421.79</v>
      </c>
      <c r="F188" s="8">
        <f>'Rail Expenses'!G57</f>
        <v>18145944.4437</v>
      </c>
      <c r="G188" s="8">
        <f>'Rail Expenses'!H57</f>
        <v>18690322.777011</v>
      </c>
      <c r="H188" s="8">
        <f>'Rail Expenses'!I57</f>
        <v>19251032.460321333</v>
      </c>
      <c r="I188" s="8">
        <f>'Rail Expenses'!J57</f>
        <v>19828563.43413097</v>
      </c>
    </row>
    <row r="189" spans="2:9" ht="9.75" outlineLevel="1">
      <c r="B189" s="22" t="str">
        <f>rail2</f>
        <v>Route 2</v>
      </c>
      <c r="C189" s="6" t="s">
        <v>85</v>
      </c>
      <c r="D189" s="8">
        <f>'Rail Expenses'!E58</f>
        <v>0</v>
      </c>
      <c r="E189" s="8">
        <f>'Rail Expenses'!F58</f>
        <v>0</v>
      </c>
      <c r="F189" s="8">
        <f>'Rail Expenses'!G58</f>
        <v>0</v>
      </c>
      <c r="G189" s="8">
        <f>'Rail Expenses'!H58</f>
        <v>0</v>
      </c>
      <c r="H189" s="8">
        <f>'Rail Expenses'!I58</f>
        <v>0</v>
      </c>
      <c r="I189" s="8">
        <f>'Rail Expenses'!J58</f>
        <v>0</v>
      </c>
    </row>
    <row r="190" spans="2:9" ht="9.75" outlineLevel="1">
      <c r="B190" s="22" t="str">
        <f>rail3</f>
        <v>Route 3</v>
      </c>
      <c r="C190" s="6" t="s">
        <v>85</v>
      </c>
      <c r="D190" s="8">
        <f>'Rail Expenses'!E59</f>
        <v>0</v>
      </c>
      <c r="E190" s="8">
        <f>'Rail Expenses'!F59</f>
        <v>0</v>
      </c>
      <c r="F190" s="8">
        <f>'Rail Expenses'!G59</f>
        <v>0</v>
      </c>
      <c r="G190" s="8">
        <f>'Rail Expenses'!H59</f>
        <v>0</v>
      </c>
      <c r="H190" s="8">
        <f>'Rail Expenses'!I59</f>
        <v>0</v>
      </c>
      <c r="I190" s="8">
        <f>'Rail Expenses'!J59</f>
        <v>0</v>
      </c>
    </row>
    <row r="191" spans="2:9" ht="9.75" outlineLevel="1">
      <c r="B191" s="22" t="str">
        <f>rail4</f>
        <v>Route 4</v>
      </c>
      <c r="C191" s="6" t="s">
        <v>85</v>
      </c>
      <c r="D191" s="8">
        <f>'Rail Expenses'!E60</f>
        <v>0</v>
      </c>
      <c r="E191" s="8">
        <f>'Rail Expenses'!F60</f>
        <v>0</v>
      </c>
      <c r="F191" s="8">
        <f>'Rail Expenses'!G60</f>
        <v>0</v>
      </c>
      <c r="G191" s="8">
        <f>'Rail Expenses'!H60</f>
        <v>0</v>
      </c>
      <c r="H191" s="8">
        <f>'Rail Expenses'!I60</f>
        <v>0</v>
      </c>
      <c r="I191" s="8">
        <f>'Rail Expenses'!J60</f>
        <v>0</v>
      </c>
    </row>
    <row r="192" spans="2:9" ht="9.75" outlineLevel="1">
      <c r="B192" s="22" t="str">
        <f>rail5</f>
        <v>Route 5</v>
      </c>
      <c r="C192" s="6" t="s">
        <v>85</v>
      </c>
      <c r="D192" s="8">
        <f>'Rail Expenses'!E61</f>
        <v>0</v>
      </c>
      <c r="E192" s="8">
        <f>'Rail Expenses'!F61</f>
        <v>0</v>
      </c>
      <c r="F192" s="8">
        <f>'Rail Expenses'!G61</f>
        <v>0</v>
      </c>
      <c r="G192" s="8">
        <f>'Rail Expenses'!H61</f>
        <v>0</v>
      </c>
      <c r="H192" s="8">
        <f>'Rail Expenses'!I61</f>
        <v>0</v>
      </c>
      <c r="I192" s="8">
        <f>'Rail Expenses'!J61</f>
        <v>0</v>
      </c>
    </row>
    <row r="193" spans="2:9" ht="9.75" outlineLevel="1">
      <c r="B193" s="22" t="str">
        <f>rail6</f>
        <v>Route 6</v>
      </c>
      <c r="C193" s="6" t="s">
        <v>85</v>
      </c>
      <c r="D193" s="8">
        <f>'Rail Expenses'!E62</f>
        <v>0</v>
      </c>
      <c r="E193" s="8">
        <f>'Rail Expenses'!F62</f>
        <v>0</v>
      </c>
      <c r="F193" s="8">
        <f>'Rail Expenses'!G62</f>
        <v>0</v>
      </c>
      <c r="G193" s="8">
        <f>'Rail Expenses'!H62</f>
        <v>0</v>
      </c>
      <c r="H193" s="8">
        <f>'Rail Expenses'!I62</f>
        <v>0</v>
      </c>
      <c r="I193" s="8">
        <f>'Rail Expenses'!J62</f>
        <v>0</v>
      </c>
    </row>
    <row r="194" spans="2:9" ht="9.75" outlineLevel="1">
      <c r="B194" s="22" t="str">
        <f>rail7</f>
        <v>Route 7</v>
      </c>
      <c r="C194" s="6" t="s">
        <v>85</v>
      </c>
      <c r="D194" s="8">
        <f>'Rail Expenses'!E63</f>
        <v>0</v>
      </c>
      <c r="E194" s="8">
        <f>'Rail Expenses'!F63</f>
        <v>0</v>
      </c>
      <c r="F194" s="8">
        <f>'Rail Expenses'!G63</f>
        <v>0</v>
      </c>
      <c r="G194" s="8">
        <f>'Rail Expenses'!H63</f>
        <v>0</v>
      </c>
      <c r="H194" s="8">
        <f>'Rail Expenses'!I63</f>
        <v>0</v>
      </c>
      <c r="I194" s="8">
        <f>'Rail Expenses'!J63</f>
        <v>0</v>
      </c>
    </row>
    <row r="195" spans="2:9" ht="9.75" outlineLevel="1">
      <c r="B195" s="22" t="str">
        <f>rail8</f>
        <v>Route 8</v>
      </c>
      <c r="C195" s="6" t="s">
        <v>85</v>
      </c>
      <c r="D195" s="8">
        <f>'Rail Expenses'!E64</f>
        <v>0</v>
      </c>
      <c r="E195" s="8">
        <f>'Rail Expenses'!F64</f>
        <v>0</v>
      </c>
      <c r="F195" s="8">
        <f>'Rail Expenses'!G64</f>
        <v>0</v>
      </c>
      <c r="G195" s="8">
        <f>'Rail Expenses'!H64</f>
        <v>0</v>
      </c>
      <c r="H195" s="8">
        <f>'Rail Expenses'!I64</f>
        <v>0</v>
      </c>
      <c r="I195" s="8">
        <f>'Rail Expenses'!J64</f>
        <v>0</v>
      </c>
    </row>
    <row r="196" spans="2:9" ht="9.75" outlineLevel="1">
      <c r="B196" s="22" t="str">
        <f>rail9</f>
        <v>Route 9</v>
      </c>
      <c r="C196" s="6" t="s">
        <v>85</v>
      </c>
      <c r="D196" s="8">
        <f>'Rail Expenses'!E65</f>
        <v>0</v>
      </c>
      <c r="E196" s="8">
        <f>'Rail Expenses'!F65</f>
        <v>0</v>
      </c>
      <c r="F196" s="8">
        <f>'Rail Expenses'!G65</f>
        <v>0</v>
      </c>
      <c r="G196" s="8">
        <f>'Rail Expenses'!H65</f>
        <v>0</v>
      </c>
      <c r="H196" s="8">
        <f>'Rail Expenses'!I65</f>
        <v>0</v>
      </c>
      <c r="I196" s="8">
        <f>'Rail Expenses'!J65</f>
        <v>0</v>
      </c>
    </row>
    <row r="197" spans="2:9" ht="9.75" outlineLevel="1">
      <c r="B197" s="22" t="str">
        <f>rail10</f>
        <v>Route 10</v>
      </c>
      <c r="C197" s="6" t="s">
        <v>85</v>
      </c>
      <c r="D197" s="8">
        <f>'Rail Expenses'!E66</f>
        <v>0</v>
      </c>
      <c r="E197" s="8">
        <f>'Rail Expenses'!F66</f>
        <v>0</v>
      </c>
      <c r="F197" s="8">
        <f>'Rail Expenses'!G66</f>
        <v>0</v>
      </c>
      <c r="G197" s="8">
        <f>'Rail Expenses'!H66</f>
        <v>0</v>
      </c>
      <c r="H197" s="8">
        <f>'Rail Expenses'!I66</f>
        <v>0</v>
      </c>
      <c r="I197" s="8">
        <f>'Rail Expenses'!J66</f>
        <v>0</v>
      </c>
    </row>
    <row r="198" spans="2:9" ht="9.75" outlineLevel="1">
      <c r="B198" s="22" t="str">
        <f>rail11</f>
        <v>Route 11</v>
      </c>
      <c r="C198" s="6" t="s">
        <v>85</v>
      </c>
      <c r="D198" s="8">
        <f>'Rail Expenses'!E67</f>
        <v>0</v>
      </c>
      <c r="E198" s="8">
        <f>'Rail Expenses'!F67</f>
        <v>0</v>
      </c>
      <c r="F198" s="8">
        <f>'Rail Expenses'!G67</f>
        <v>0</v>
      </c>
      <c r="G198" s="8">
        <f>'Rail Expenses'!H67</f>
        <v>0</v>
      </c>
      <c r="H198" s="8">
        <f>'Rail Expenses'!I67</f>
        <v>0</v>
      </c>
      <c r="I198" s="8">
        <f>'Rail Expenses'!J67</f>
        <v>0</v>
      </c>
    </row>
    <row r="199" spans="2:9" ht="9.75" outlineLevel="1">
      <c r="B199" s="22" t="str">
        <f>rail12</f>
        <v>Route 12</v>
      </c>
      <c r="C199" s="6" t="s">
        <v>85</v>
      </c>
      <c r="D199" s="8">
        <f>'Rail Expenses'!E68</f>
        <v>0</v>
      </c>
      <c r="E199" s="8">
        <f>'Rail Expenses'!F68</f>
        <v>0</v>
      </c>
      <c r="F199" s="8">
        <f>'Rail Expenses'!G68</f>
        <v>0</v>
      </c>
      <c r="G199" s="8">
        <f>'Rail Expenses'!H68</f>
        <v>0</v>
      </c>
      <c r="H199" s="8">
        <f>'Rail Expenses'!I68</f>
        <v>0</v>
      </c>
      <c r="I199" s="8">
        <f>'Rail Expenses'!J68</f>
        <v>0</v>
      </c>
    </row>
    <row r="200" spans="2:9" ht="9.75" outlineLevel="1">
      <c r="B200" s="22" t="str">
        <f>rail13</f>
        <v>Route 13</v>
      </c>
      <c r="C200" s="6" t="s">
        <v>85</v>
      </c>
      <c r="D200" s="8">
        <f>'Rail Expenses'!E69</f>
        <v>0</v>
      </c>
      <c r="E200" s="8">
        <f>'Rail Expenses'!F69</f>
        <v>0</v>
      </c>
      <c r="F200" s="8">
        <f>'Rail Expenses'!G69</f>
        <v>0</v>
      </c>
      <c r="G200" s="8">
        <f>'Rail Expenses'!H69</f>
        <v>0</v>
      </c>
      <c r="H200" s="8">
        <f>'Rail Expenses'!I69</f>
        <v>0</v>
      </c>
      <c r="I200" s="8">
        <f>'Rail Expenses'!J69</f>
        <v>0</v>
      </c>
    </row>
    <row r="201" spans="2:9" ht="9.75" outlineLevel="1">
      <c r="B201" s="22" t="str">
        <f>rail14</f>
        <v>Route 14</v>
      </c>
      <c r="C201" s="6" t="s">
        <v>85</v>
      </c>
      <c r="D201" s="8">
        <f>'Rail Expenses'!E70</f>
        <v>0</v>
      </c>
      <c r="E201" s="8">
        <f>'Rail Expenses'!F70</f>
        <v>0</v>
      </c>
      <c r="F201" s="8">
        <f>'Rail Expenses'!G70</f>
        <v>0</v>
      </c>
      <c r="G201" s="8">
        <f>'Rail Expenses'!H70</f>
        <v>0</v>
      </c>
      <c r="H201" s="8">
        <f>'Rail Expenses'!I70</f>
        <v>0</v>
      </c>
      <c r="I201" s="8">
        <f>'Rail Expenses'!J70</f>
        <v>0</v>
      </c>
    </row>
    <row r="202" spans="2:9" ht="9.75" outlineLevel="1">
      <c r="B202" s="22" t="str">
        <f>rail15</f>
        <v>Route 15</v>
      </c>
      <c r="C202" s="6" t="s">
        <v>85</v>
      </c>
      <c r="D202" s="8">
        <f>'Rail Expenses'!E71</f>
        <v>0</v>
      </c>
      <c r="E202" s="8">
        <f>'Rail Expenses'!F71</f>
        <v>0</v>
      </c>
      <c r="F202" s="8">
        <f>'Rail Expenses'!G71</f>
        <v>0</v>
      </c>
      <c r="G202" s="8">
        <f>'Rail Expenses'!H71</f>
        <v>0</v>
      </c>
      <c r="H202" s="8">
        <f>'Rail Expenses'!I71</f>
        <v>0</v>
      </c>
      <c r="I202" s="8">
        <f>'Rail Expenses'!J71</f>
        <v>0</v>
      </c>
    </row>
    <row r="203" spans="2:9" ht="9.75" outlineLevel="1">
      <c r="B203" s="22" t="str">
        <f>rail16</f>
        <v>Route 16</v>
      </c>
      <c r="C203" s="6" t="s">
        <v>85</v>
      </c>
      <c r="D203" s="8">
        <f>'Rail Expenses'!E72</f>
        <v>0</v>
      </c>
      <c r="E203" s="8">
        <f>'Rail Expenses'!F72</f>
        <v>0</v>
      </c>
      <c r="F203" s="8">
        <f>'Rail Expenses'!G72</f>
        <v>0</v>
      </c>
      <c r="G203" s="8">
        <f>'Rail Expenses'!H72</f>
        <v>0</v>
      </c>
      <c r="H203" s="8">
        <f>'Rail Expenses'!I72</f>
        <v>0</v>
      </c>
      <c r="I203" s="8">
        <f>'Rail Expenses'!J72</f>
        <v>0</v>
      </c>
    </row>
    <row r="204" spans="2:9" ht="9.75" outlineLevel="1">
      <c r="B204" s="22" t="str">
        <f>rail17</f>
        <v>Route 17</v>
      </c>
      <c r="C204" s="6" t="s">
        <v>85</v>
      </c>
      <c r="D204" s="8">
        <f>'Rail Expenses'!E73</f>
        <v>0</v>
      </c>
      <c r="E204" s="8">
        <f>'Rail Expenses'!F73</f>
        <v>0</v>
      </c>
      <c r="F204" s="8">
        <f>'Rail Expenses'!G73</f>
        <v>0</v>
      </c>
      <c r="G204" s="8">
        <f>'Rail Expenses'!H73</f>
        <v>0</v>
      </c>
      <c r="H204" s="8">
        <f>'Rail Expenses'!I73</f>
        <v>0</v>
      </c>
      <c r="I204" s="8">
        <f>'Rail Expenses'!J73</f>
        <v>0</v>
      </c>
    </row>
    <row r="205" spans="2:9" ht="9.75" outlineLevel="1">
      <c r="B205" s="22" t="str">
        <f>rail18</f>
        <v>Route 18</v>
      </c>
      <c r="C205" s="6" t="s">
        <v>85</v>
      </c>
      <c r="D205" s="8">
        <f>'Rail Expenses'!E74</f>
        <v>0</v>
      </c>
      <c r="E205" s="8">
        <f>'Rail Expenses'!F74</f>
        <v>0</v>
      </c>
      <c r="F205" s="8">
        <f>'Rail Expenses'!G74</f>
        <v>0</v>
      </c>
      <c r="G205" s="8">
        <f>'Rail Expenses'!H74</f>
        <v>0</v>
      </c>
      <c r="H205" s="8">
        <f>'Rail Expenses'!I74</f>
        <v>0</v>
      </c>
      <c r="I205" s="8">
        <f>'Rail Expenses'!J74</f>
        <v>0</v>
      </c>
    </row>
    <row r="206" spans="2:9" ht="9.75" outlineLevel="1">
      <c r="B206" s="22" t="str">
        <f>rail19</f>
        <v>Route 19</v>
      </c>
      <c r="C206" s="6" t="s">
        <v>85</v>
      </c>
      <c r="D206" s="8">
        <f>'Rail Expenses'!E75</f>
        <v>0</v>
      </c>
      <c r="E206" s="8">
        <f>'Rail Expenses'!F75</f>
        <v>0</v>
      </c>
      <c r="F206" s="8">
        <f>'Rail Expenses'!G75</f>
        <v>0</v>
      </c>
      <c r="G206" s="8">
        <f>'Rail Expenses'!H75</f>
        <v>0</v>
      </c>
      <c r="H206" s="8">
        <f>'Rail Expenses'!I75</f>
        <v>0</v>
      </c>
      <c r="I206" s="8">
        <f>'Rail Expenses'!J75</f>
        <v>0</v>
      </c>
    </row>
    <row r="207" spans="2:9" ht="9.75" outlineLevel="1">
      <c r="B207" s="22" t="str">
        <f>rail20</f>
        <v>Route 20</v>
      </c>
      <c r="C207" s="6" t="s">
        <v>85</v>
      </c>
      <c r="D207" s="8">
        <f>'Rail Expenses'!E76</f>
        <v>0</v>
      </c>
      <c r="E207" s="8">
        <f>'Rail Expenses'!F76</f>
        <v>0</v>
      </c>
      <c r="F207" s="8">
        <f>'Rail Expenses'!G76</f>
        <v>0</v>
      </c>
      <c r="G207" s="8">
        <f>'Rail Expenses'!H76</f>
        <v>0</v>
      </c>
      <c r="H207" s="8">
        <f>'Rail Expenses'!I76</f>
        <v>0</v>
      </c>
      <c r="I207" s="8">
        <f>'Rail Expenses'!J76</f>
        <v>0</v>
      </c>
    </row>
    <row r="208" spans="2:9" ht="9.75" outlineLevel="1">
      <c r="B208" s="1" t="s">
        <v>254</v>
      </c>
      <c r="C208" s="6" t="s">
        <v>85</v>
      </c>
      <c r="D208" s="170">
        <f aca="true" t="shared" si="9" ref="D208:I208">SUM(D188:D207)</f>
        <v>17104293</v>
      </c>
      <c r="E208" s="170">
        <f t="shared" si="9"/>
        <v>17617421.79</v>
      </c>
      <c r="F208" s="170">
        <f t="shared" si="9"/>
        <v>18145944.4437</v>
      </c>
      <c r="G208" s="170">
        <f t="shared" si="9"/>
        <v>18690322.777011</v>
      </c>
      <c r="H208" s="170">
        <f t="shared" si="9"/>
        <v>19251032.460321333</v>
      </c>
      <c r="I208" s="170">
        <f t="shared" si="9"/>
        <v>19828563.43413097</v>
      </c>
    </row>
    <row r="209" ht="9.75" outlineLevel="1"/>
    <row r="210" ht="9.75" outlineLevel="1">
      <c r="B210" s="2" t="s">
        <v>256</v>
      </c>
    </row>
    <row r="211" spans="2:9" ht="9.75" outlineLevel="1">
      <c r="B211" s="22" t="str">
        <f>rail1</f>
        <v>Cloudbreak to Port Dumper</v>
      </c>
      <c r="C211" s="6" t="s">
        <v>85</v>
      </c>
      <c r="D211" s="8">
        <f>'Rail Expenses'!E275</f>
        <v>0</v>
      </c>
      <c r="E211" s="8">
        <f>'Rail Expenses'!F275</f>
        <v>0</v>
      </c>
      <c r="F211" s="8">
        <f>'Rail Expenses'!G275</f>
        <v>0</v>
      </c>
      <c r="G211" s="8">
        <f>'Rail Expenses'!H275</f>
        <v>0</v>
      </c>
      <c r="H211" s="8">
        <f>'Rail Expenses'!I275</f>
        <v>0</v>
      </c>
      <c r="I211" s="8">
        <f>'Rail Expenses'!J275</f>
        <v>0</v>
      </c>
    </row>
    <row r="212" spans="2:9" ht="9.75" outlineLevel="1">
      <c r="B212" s="22" t="str">
        <f>rail2</f>
        <v>Route 2</v>
      </c>
      <c r="C212" s="6" t="s">
        <v>85</v>
      </c>
      <c r="D212" s="8">
        <f>'Rail Expenses'!E276</f>
        <v>0</v>
      </c>
      <c r="E212" s="8">
        <f>'Rail Expenses'!F276</f>
        <v>0</v>
      </c>
      <c r="F212" s="8">
        <f>'Rail Expenses'!G276</f>
        <v>0</v>
      </c>
      <c r="G212" s="8">
        <f>'Rail Expenses'!H276</f>
        <v>0</v>
      </c>
      <c r="H212" s="8">
        <f>'Rail Expenses'!I276</f>
        <v>0</v>
      </c>
      <c r="I212" s="8">
        <f>'Rail Expenses'!J276</f>
        <v>0</v>
      </c>
    </row>
    <row r="213" spans="2:9" ht="9.75" outlineLevel="1">
      <c r="B213" s="22" t="str">
        <f>rail3</f>
        <v>Route 3</v>
      </c>
      <c r="C213" s="6" t="s">
        <v>85</v>
      </c>
      <c r="D213" s="8">
        <f>'Rail Expenses'!E277</f>
        <v>0</v>
      </c>
      <c r="E213" s="8">
        <f>'Rail Expenses'!F277</f>
        <v>0</v>
      </c>
      <c r="F213" s="8">
        <f>'Rail Expenses'!G277</f>
        <v>0</v>
      </c>
      <c r="G213" s="8">
        <f>'Rail Expenses'!H277</f>
        <v>0</v>
      </c>
      <c r="H213" s="8">
        <f>'Rail Expenses'!I277</f>
        <v>0</v>
      </c>
      <c r="I213" s="8">
        <f>'Rail Expenses'!J277</f>
        <v>0</v>
      </c>
    </row>
    <row r="214" spans="2:9" ht="9.75" outlineLevel="1">
      <c r="B214" s="22" t="str">
        <f>rail4</f>
        <v>Route 4</v>
      </c>
      <c r="C214" s="6" t="s">
        <v>85</v>
      </c>
      <c r="D214" s="8">
        <f>'Rail Expenses'!E278</f>
        <v>0</v>
      </c>
      <c r="E214" s="8">
        <f>'Rail Expenses'!F278</f>
        <v>0</v>
      </c>
      <c r="F214" s="8">
        <f>'Rail Expenses'!G278</f>
        <v>0</v>
      </c>
      <c r="G214" s="8">
        <f>'Rail Expenses'!H278</f>
        <v>0</v>
      </c>
      <c r="H214" s="8">
        <f>'Rail Expenses'!I278</f>
        <v>0</v>
      </c>
      <c r="I214" s="8">
        <f>'Rail Expenses'!J278</f>
        <v>0</v>
      </c>
    </row>
    <row r="215" spans="2:9" ht="9.75" outlineLevel="1">
      <c r="B215" s="22" t="str">
        <f>rail5</f>
        <v>Route 5</v>
      </c>
      <c r="C215" s="6" t="s">
        <v>85</v>
      </c>
      <c r="D215" s="8">
        <f>'Rail Expenses'!E279</f>
        <v>0</v>
      </c>
      <c r="E215" s="8">
        <f>'Rail Expenses'!F279</f>
        <v>0</v>
      </c>
      <c r="F215" s="8">
        <f>'Rail Expenses'!G279</f>
        <v>0</v>
      </c>
      <c r="G215" s="8">
        <f>'Rail Expenses'!H279</f>
        <v>0</v>
      </c>
      <c r="H215" s="8">
        <f>'Rail Expenses'!I279</f>
        <v>0</v>
      </c>
      <c r="I215" s="8">
        <f>'Rail Expenses'!J279</f>
        <v>0</v>
      </c>
    </row>
    <row r="216" spans="2:9" ht="9.75" outlineLevel="1">
      <c r="B216" s="22" t="str">
        <f>rail6</f>
        <v>Route 6</v>
      </c>
      <c r="C216" s="6" t="s">
        <v>85</v>
      </c>
      <c r="D216" s="8">
        <f>'Rail Expenses'!E280</f>
        <v>0</v>
      </c>
      <c r="E216" s="8">
        <f>'Rail Expenses'!F280</f>
        <v>0</v>
      </c>
      <c r="F216" s="8">
        <f>'Rail Expenses'!G280</f>
        <v>0</v>
      </c>
      <c r="G216" s="8">
        <f>'Rail Expenses'!H280</f>
        <v>0</v>
      </c>
      <c r="H216" s="8">
        <f>'Rail Expenses'!I280</f>
        <v>0</v>
      </c>
      <c r="I216" s="8">
        <f>'Rail Expenses'!J280</f>
        <v>0</v>
      </c>
    </row>
    <row r="217" spans="2:9" ht="9.75" outlineLevel="1">
      <c r="B217" s="22" t="str">
        <f>rail7</f>
        <v>Route 7</v>
      </c>
      <c r="C217" s="6" t="s">
        <v>85</v>
      </c>
      <c r="D217" s="8">
        <f>'Rail Expenses'!E281</f>
        <v>0</v>
      </c>
      <c r="E217" s="8">
        <f>'Rail Expenses'!F281</f>
        <v>0</v>
      </c>
      <c r="F217" s="8">
        <f>'Rail Expenses'!G281</f>
        <v>0</v>
      </c>
      <c r="G217" s="8">
        <f>'Rail Expenses'!H281</f>
        <v>0</v>
      </c>
      <c r="H217" s="8">
        <f>'Rail Expenses'!I281</f>
        <v>0</v>
      </c>
      <c r="I217" s="8">
        <f>'Rail Expenses'!J281</f>
        <v>0</v>
      </c>
    </row>
    <row r="218" spans="2:9" ht="9.75" outlineLevel="1">
      <c r="B218" s="22" t="str">
        <f>rail8</f>
        <v>Route 8</v>
      </c>
      <c r="C218" s="6" t="s">
        <v>85</v>
      </c>
      <c r="D218" s="8">
        <f>'Rail Expenses'!E282</f>
        <v>0</v>
      </c>
      <c r="E218" s="8">
        <f>'Rail Expenses'!F282</f>
        <v>0</v>
      </c>
      <c r="F218" s="8">
        <f>'Rail Expenses'!G282</f>
        <v>0</v>
      </c>
      <c r="G218" s="8">
        <f>'Rail Expenses'!H282</f>
        <v>0</v>
      </c>
      <c r="H218" s="8">
        <f>'Rail Expenses'!I282</f>
        <v>0</v>
      </c>
      <c r="I218" s="8">
        <f>'Rail Expenses'!J282</f>
        <v>0</v>
      </c>
    </row>
    <row r="219" spans="2:9" ht="9.75" outlineLevel="1">
      <c r="B219" s="22" t="str">
        <f>rail9</f>
        <v>Route 9</v>
      </c>
      <c r="C219" s="6" t="s">
        <v>85</v>
      </c>
      <c r="D219" s="8">
        <f>'Rail Expenses'!E283</f>
        <v>0</v>
      </c>
      <c r="E219" s="8">
        <f>'Rail Expenses'!F283</f>
        <v>0</v>
      </c>
      <c r="F219" s="8">
        <f>'Rail Expenses'!G283</f>
        <v>0</v>
      </c>
      <c r="G219" s="8">
        <f>'Rail Expenses'!H283</f>
        <v>0</v>
      </c>
      <c r="H219" s="8">
        <f>'Rail Expenses'!I283</f>
        <v>0</v>
      </c>
      <c r="I219" s="8">
        <f>'Rail Expenses'!J283</f>
        <v>0</v>
      </c>
    </row>
    <row r="220" spans="2:9" ht="9.75" outlineLevel="1">
      <c r="B220" s="22" t="str">
        <f>rail10</f>
        <v>Route 10</v>
      </c>
      <c r="C220" s="6" t="s">
        <v>85</v>
      </c>
      <c r="D220" s="8">
        <f>'Rail Expenses'!E284</f>
        <v>0</v>
      </c>
      <c r="E220" s="8">
        <f>'Rail Expenses'!F284</f>
        <v>0</v>
      </c>
      <c r="F220" s="8">
        <f>'Rail Expenses'!G284</f>
        <v>0</v>
      </c>
      <c r="G220" s="8">
        <f>'Rail Expenses'!H284</f>
        <v>0</v>
      </c>
      <c r="H220" s="8">
        <f>'Rail Expenses'!I284</f>
        <v>0</v>
      </c>
      <c r="I220" s="8">
        <f>'Rail Expenses'!J284</f>
        <v>0</v>
      </c>
    </row>
    <row r="221" spans="2:9" ht="9.75" outlineLevel="1">
      <c r="B221" s="22" t="str">
        <f>rail11</f>
        <v>Route 11</v>
      </c>
      <c r="C221" s="6" t="s">
        <v>85</v>
      </c>
      <c r="D221" s="8">
        <f>'Rail Expenses'!E285</f>
        <v>0</v>
      </c>
      <c r="E221" s="8">
        <f>'Rail Expenses'!F285</f>
        <v>0</v>
      </c>
      <c r="F221" s="8">
        <f>'Rail Expenses'!G285</f>
        <v>0</v>
      </c>
      <c r="G221" s="8">
        <f>'Rail Expenses'!H285</f>
        <v>0</v>
      </c>
      <c r="H221" s="8">
        <f>'Rail Expenses'!I285</f>
        <v>0</v>
      </c>
      <c r="I221" s="8">
        <f>'Rail Expenses'!J285</f>
        <v>0</v>
      </c>
    </row>
    <row r="222" spans="2:9" ht="9.75" outlineLevel="1">
      <c r="B222" s="22" t="str">
        <f>rail12</f>
        <v>Route 12</v>
      </c>
      <c r="C222" s="6" t="s">
        <v>85</v>
      </c>
      <c r="D222" s="8">
        <f>'Rail Expenses'!E286</f>
        <v>0</v>
      </c>
      <c r="E222" s="8">
        <f>'Rail Expenses'!F286</f>
        <v>0</v>
      </c>
      <c r="F222" s="8">
        <f>'Rail Expenses'!G286</f>
        <v>0</v>
      </c>
      <c r="G222" s="8">
        <f>'Rail Expenses'!H286</f>
        <v>0</v>
      </c>
      <c r="H222" s="8">
        <f>'Rail Expenses'!I286</f>
        <v>0</v>
      </c>
      <c r="I222" s="8">
        <f>'Rail Expenses'!J286</f>
        <v>0</v>
      </c>
    </row>
    <row r="223" spans="2:9" ht="9.75" outlineLevel="1">
      <c r="B223" s="22" t="str">
        <f>rail13</f>
        <v>Route 13</v>
      </c>
      <c r="C223" s="6" t="s">
        <v>85</v>
      </c>
      <c r="D223" s="8">
        <f>'Rail Expenses'!E287</f>
        <v>0</v>
      </c>
      <c r="E223" s="8">
        <f>'Rail Expenses'!F287</f>
        <v>0</v>
      </c>
      <c r="F223" s="8">
        <f>'Rail Expenses'!G287</f>
        <v>0</v>
      </c>
      <c r="G223" s="8">
        <f>'Rail Expenses'!H287</f>
        <v>0</v>
      </c>
      <c r="H223" s="8">
        <f>'Rail Expenses'!I287</f>
        <v>0</v>
      </c>
      <c r="I223" s="8">
        <f>'Rail Expenses'!J287</f>
        <v>0</v>
      </c>
    </row>
    <row r="224" spans="2:9" ht="9.75" outlineLevel="1">
      <c r="B224" s="22" t="str">
        <f>rail14</f>
        <v>Route 14</v>
      </c>
      <c r="C224" s="6" t="s">
        <v>85</v>
      </c>
      <c r="D224" s="8">
        <f>'Rail Expenses'!E288</f>
        <v>0</v>
      </c>
      <c r="E224" s="8">
        <f>'Rail Expenses'!F288</f>
        <v>0</v>
      </c>
      <c r="F224" s="8">
        <f>'Rail Expenses'!G288</f>
        <v>0</v>
      </c>
      <c r="G224" s="8">
        <f>'Rail Expenses'!H288</f>
        <v>0</v>
      </c>
      <c r="H224" s="8">
        <f>'Rail Expenses'!I288</f>
        <v>0</v>
      </c>
      <c r="I224" s="8">
        <f>'Rail Expenses'!J288</f>
        <v>0</v>
      </c>
    </row>
    <row r="225" spans="2:9" ht="9.75" outlineLevel="1">
      <c r="B225" s="22" t="str">
        <f>rail15</f>
        <v>Route 15</v>
      </c>
      <c r="C225" s="6" t="s">
        <v>85</v>
      </c>
      <c r="D225" s="8">
        <f>'Rail Expenses'!E289</f>
        <v>0</v>
      </c>
      <c r="E225" s="8">
        <f>'Rail Expenses'!F289</f>
        <v>0</v>
      </c>
      <c r="F225" s="8">
        <f>'Rail Expenses'!G289</f>
        <v>0</v>
      </c>
      <c r="G225" s="8">
        <f>'Rail Expenses'!H289</f>
        <v>0</v>
      </c>
      <c r="H225" s="8">
        <f>'Rail Expenses'!I289</f>
        <v>0</v>
      </c>
      <c r="I225" s="8">
        <f>'Rail Expenses'!J289</f>
        <v>0</v>
      </c>
    </row>
    <row r="226" spans="2:9" ht="9.75" outlineLevel="1">
      <c r="B226" s="22" t="str">
        <f>rail16</f>
        <v>Route 16</v>
      </c>
      <c r="C226" s="6" t="s">
        <v>85</v>
      </c>
      <c r="D226" s="8">
        <f>'Rail Expenses'!E290</f>
        <v>0</v>
      </c>
      <c r="E226" s="8">
        <f>'Rail Expenses'!F290</f>
        <v>0</v>
      </c>
      <c r="F226" s="8">
        <f>'Rail Expenses'!G290</f>
        <v>0</v>
      </c>
      <c r="G226" s="8">
        <f>'Rail Expenses'!H290</f>
        <v>0</v>
      </c>
      <c r="H226" s="8">
        <f>'Rail Expenses'!I290</f>
        <v>0</v>
      </c>
      <c r="I226" s="8">
        <f>'Rail Expenses'!J290</f>
        <v>0</v>
      </c>
    </row>
    <row r="227" spans="2:9" ht="9.75" outlineLevel="1">
      <c r="B227" s="22" t="str">
        <f>rail17</f>
        <v>Route 17</v>
      </c>
      <c r="C227" s="6" t="s">
        <v>85</v>
      </c>
      <c r="D227" s="8">
        <f>'Rail Expenses'!E291</f>
        <v>0</v>
      </c>
      <c r="E227" s="8">
        <f>'Rail Expenses'!F291</f>
        <v>0</v>
      </c>
      <c r="F227" s="8">
        <f>'Rail Expenses'!G291</f>
        <v>0</v>
      </c>
      <c r="G227" s="8">
        <f>'Rail Expenses'!H291</f>
        <v>0</v>
      </c>
      <c r="H227" s="8">
        <f>'Rail Expenses'!I291</f>
        <v>0</v>
      </c>
      <c r="I227" s="8">
        <f>'Rail Expenses'!J291</f>
        <v>0</v>
      </c>
    </row>
    <row r="228" spans="2:9" ht="9.75" outlineLevel="1">
      <c r="B228" s="22" t="str">
        <f>rail18</f>
        <v>Route 18</v>
      </c>
      <c r="C228" s="6" t="s">
        <v>85</v>
      </c>
      <c r="D228" s="8">
        <f>'Rail Expenses'!E292</f>
        <v>0</v>
      </c>
      <c r="E228" s="8">
        <f>'Rail Expenses'!F292</f>
        <v>0</v>
      </c>
      <c r="F228" s="8">
        <f>'Rail Expenses'!G292</f>
        <v>0</v>
      </c>
      <c r="G228" s="8">
        <f>'Rail Expenses'!H292</f>
        <v>0</v>
      </c>
      <c r="H228" s="8">
        <f>'Rail Expenses'!I292</f>
        <v>0</v>
      </c>
      <c r="I228" s="8">
        <f>'Rail Expenses'!J292</f>
        <v>0</v>
      </c>
    </row>
    <row r="229" spans="2:9" ht="9.75" outlineLevel="1">
      <c r="B229" s="22" t="str">
        <f>rail19</f>
        <v>Route 19</v>
      </c>
      <c r="C229" s="6" t="s">
        <v>85</v>
      </c>
      <c r="D229" s="8">
        <f>'Rail Expenses'!E293</f>
        <v>0</v>
      </c>
      <c r="E229" s="8">
        <f>'Rail Expenses'!F293</f>
        <v>0</v>
      </c>
      <c r="F229" s="8">
        <f>'Rail Expenses'!G293</f>
        <v>0</v>
      </c>
      <c r="G229" s="8">
        <f>'Rail Expenses'!H293</f>
        <v>0</v>
      </c>
      <c r="H229" s="8">
        <f>'Rail Expenses'!I293</f>
        <v>0</v>
      </c>
      <c r="I229" s="8">
        <f>'Rail Expenses'!J293</f>
        <v>0</v>
      </c>
    </row>
    <row r="230" spans="2:9" ht="9.75" outlineLevel="1">
      <c r="B230" s="22" t="str">
        <f>rail20</f>
        <v>Route 20</v>
      </c>
      <c r="C230" s="6" t="s">
        <v>85</v>
      </c>
      <c r="D230" s="8">
        <f>'Rail Expenses'!E294</f>
        <v>0</v>
      </c>
      <c r="E230" s="8">
        <f>'Rail Expenses'!F294</f>
        <v>0</v>
      </c>
      <c r="F230" s="8">
        <f>'Rail Expenses'!G294</f>
        <v>0</v>
      </c>
      <c r="G230" s="8">
        <f>'Rail Expenses'!H294</f>
        <v>0</v>
      </c>
      <c r="H230" s="8">
        <f>'Rail Expenses'!I294</f>
        <v>0</v>
      </c>
      <c r="I230" s="8">
        <f>'Rail Expenses'!J294</f>
        <v>0</v>
      </c>
    </row>
    <row r="231" spans="2:9" ht="9.75" outlineLevel="1">
      <c r="B231" s="1" t="s">
        <v>257</v>
      </c>
      <c r="C231" s="6" t="s">
        <v>85</v>
      </c>
      <c r="D231" s="170">
        <f aca="true" t="shared" si="10" ref="D231:I231">SUM(D211:D230)</f>
        <v>0</v>
      </c>
      <c r="E231" s="170">
        <f t="shared" si="10"/>
        <v>0</v>
      </c>
      <c r="F231" s="170">
        <f t="shared" si="10"/>
        <v>0</v>
      </c>
      <c r="G231" s="170">
        <f t="shared" si="10"/>
        <v>0</v>
      </c>
      <c r="H231" s="170">
        <f t="shared" si="10"/>
        <v>0</v>
      </c>
      <c r="I231" s="170">
        <f t="shared" si="10"/>
        <v>0</v>
      </c>
    </row>
    <row r="232" ht="9.75" outlineLevel="1"/>
    <row r="233" ht="9.75" outlineLevel="1">
      <c r="B233" s="2" t="s">
        <v>253</v>
      </c>
    </row>
    <row r="234" spans="2:9" ht="9.75" outlineLevel="1">
      <c r="B234" s="22" t="str">
        <f>rail1</f>
        <v>Cloudbreak to Port Dumper</v>
      </c>
      <c r="C234" s="6" t="s">
        <v>85</v>
      </c>
      <c r="D234" s="8">
        <f>'Rail Expenses'!E166</f>
        <v>29665747.696399998</v>
      </c>
      <c r="E234" s="8">
        <f>'Rail Expenses'!F166</f>
        <v>30555720.127292</v>
      </c>
      <c r="F234" s="8">
        <f>'Rail Expenses'!G166</f>
        <v>31472391.73111076</v>
      </c>
      <c r="G234" s="8">
        <f>'Rail Expenses'!H166</f>
        <v>32416563.483044084</v>
      </c>
      <c r="H234" s="8">
        <f>'Rail Expenses'!I166</f>
        <v>33389060.387535412</v>
      </c>
      <c r="I234" s="8">
        <f>'Rail Expenses'!J166</f>
        <v>34390732.19916147</v>
      </c>
    </row>
    <row r="235" spans="2:9" ht="9.75" outlineLevel="1">
      <c r="B235" s="22" t="str">
        <f>rail2</f>
        <v>Route 2</v>
      </c>
      <c r="C235" s="6" t="s">
        <v>85</v>
      </c>
      <c r="D235" s="8">
        <f>'Rail Expenses'!E167</f>
        <v>0</v>
      </c>
      <c r="E235" s="8">
        <f>'Rail Expenses'!F167</f>
        <v>0</v>
      </c>
      <c r="F235" s="8">
        <f>'Rail Expenses'!G167</f>
        <v>0</v>
      </c>
      <c r="G235" s="8">
        <f>'Rail Expenses'!H167</f>
        <v>0</v>
      </c>
      <c r="H235" s="8">
        <f>'Rail Expenses'!I167</f>
        <v>0</v>
      </c>
      <c r="I235" s="8">
        <f>'Rail Expenses'!J167</f>
        <v>0</v>
      </c>
    </row>
    <row r="236" spans="2:9" ht="9.75" outlineLevel="1">
      <c r="B236" s="22" t="str">
        <f>rail3</f>
        <v>Route 3</v>
      </c>
      <c r="C236" s="6" t="s">
        <v>85</v>
      </c>
      <c r="D236" s="8">
        <f>'Rail Expenses'!E168</f>
        <v>0</v>
      </c>
      <c r="E236" s="8">
        <f>'Rail Expenses'!F168</f>
        <v>0</v>
      </c>
      <c r="F236" s="8">
        <f>'Rail Expenses'!G168</f>
        <v>0</v>
      </c>
      <c r="G236" s="8">
        <f>'Rail Expenses'!H168</f>
        <v>0</v>
      </c>
      <c r="H236" s="8">
        <f>'Rail Expenses'!I168</f>
        <v>0</v>
      </c>
      <c r="I236" s="8">
        <f>'Rail Expenses'!J168</f>
        <v>0</v>
      </c>
    </row>
    <row r="237" spans="2:9" ht="9.75" outlineLevel="1">
      <c r="B237" s="22" t="str">
        <f>rail4</f>
        <v>Route 4</v>
      </c>
      <c r="C237" s="6" t="s">
        <v>85</v>
      </c>
      <c r="D237" s="8">
        <f>'Rail Expenses'!E169</f>
        <v>0</v>
      </c>
      <c r="E237" s="8">
        <f>'Rail Expenses'!F169</f>
        <v>0</v>
      </c>
      <c r="F237" s="8">
        <f>'Rail Expenses'!G169</f>
        <v>0</v>
      </c>
      <c r="G237" s="8">
        <f>'Rail Expenses'!H169</f>
        <v>0</v>
      </c>
      <c r="H237" s="8">
        <f>'Rail Expenses'!I169</f>
        <v>0</v>
      </c>
      <c r="I237" s="8">
        <f>'Rail Expenses'!J169</f>
        <v>0</v>
      </c>
    </row>
    <row r="238" spans="2:9" ht="9.75" outlineLevel="1">
      <c r="B238" s="22" t="str">
        <f>rail5</f>
        <v>Route 5</v>
      </c>
      <c r="C238" s="6" t="s">
        <v>85</v>
      </c>
      <c r="D238" s="8">
        <f>'Rail Expenses'!E170</f>
        <v>0</v>
      </c>
      <c r="E238" s="8">
        <f>'Rail Expenses'!F170</f>
        <v>0</v>
      </c>
      <c r="F238" s="8">
        <f>'Rail Expenses'!G170</f>
        <v>0</v>
      </c>
      <c r="G238" s="8">
        <f>'Rail Expenses'!H170</f>
        <v>0</v>
      </c>
      <c r="H238" s="8">
        <f>'Rail Expenses'!I170</f>
        <v>0</v>
      </c>
      <c r="I238" s="8">
        <f>'Rail Expenses'!J170</f>
        <v>0</v>
      </c>
    </row>
    <row r="239" spans="2:9" ht="9.75" outlineLevel="1">
      <c r="B239" s="22" t="str">
        <f>rail6</f>
        <v>Route 6</v>
      </c>
      <c r="C239" s="6" t="s">
        <v>85</v>
      </c>
      <c r="D239" s="8">
        <f>'Rail Expenses'!E171</f>
        <v>0</v>
      </c>
      <c r="E239" s="8">
        <f>'Rail Expenses'!F171</f>
        <v>0</v>
      </c>
      <c r="F239" s="8">
        <f>'Rail Expenses'!G171</f>
        <v>0</v>
      </c>
      <c r="G239" s="8">
        <f>'Rail Expenses'!H171</f>
        <v>0</v>
      </c>
      <c r="H239" s="8">
        <f>'Rail Expenses'!I171</f>
        <v>0</v>
      </c>
      <c r="I239" s="8">
        <f>'Rail Expenses'!J171</f>
        <v>0</v>
      </c>
    </row>
    <row r="240" spans="2:9" ht="9.75" outlineLevel="1">
      <c r="B240" s="22" t="str">
        <f>rail7</f>
        <v>Route 7</v>
      </c>
      <c r="C240" s="6" t="s">
        <v>85</v>
      </c>
      <c r="D240" s="8">
        <f>'Rail Expenses'!E172</f>
        <v>0</v>
      </c>
      <c r="E240" s="8">
        <f>'Rail Expenses'!F172</f>
        <v>0</v>
      </c>
      <c r="F240" s="8">
        <f>'Rail Expenses'!G172</f>
        <v>0</v>
      </c>
      <c r="G240" s="8">
        <f>'Rail Expenses'!H172</f>
        <v>0</v>
      </c>
      <c r="H240" s="8">
        <f>'Rail Expenses'!I172</f>
        <v>0</v>
      </c>
      <c r="I240" s="8">
        <f>'Rail Expenses'!J172</f>
        <v>0</v>
      </c>
    </row>
    <row r="241" spans="2:9" ht="9.75" outlineLevel="1">
      <c r="B241" s="22" t="str">
        <f>rail8</f>
        <v>Route 8</v>
      </c>
      <c r="C241" s="6" t="s">
        <v>85</v>
      </c>
      <c r="D241" s="8">
        <f>'Rail Expenses'!E173</f>
        <v>0</v>
      </c>
      <c r="E241" s="8">
        <f>'Rail Expenses'!F173</f>
        <v>0</v>
      </c>
      <c r="F241" s="8">
        <f>'Rail Expenses'!G173</f>
        <v>0</v>
      </c>
      <c r="G241" s="8">
        <f>'Rail Expenses'!H173</f>
        <v>0</v>
      </c>
      <c r="H241" s="8">
        <f>'Rail Expenses'!I173</f>
        <v>0</v>
      </c>
      <c r="I241" s="8">
        <f>'Rail Expenses'!J173</f>
        <v>0</v>
      </c>
    </row>
    <row r="242" spans="2:9" ht="9.75" outlineLevel="1">
      <c r="B242" s="22" t="str">
        <f>rail9</f>
        <v>Route 9</v>
      </c>
      <c r="C242" s="6" t="s">
        <v>85</v>
      </c>
      <c r="D242" s="8">
        <f>'Rail Expenses'!E174</f>
        <v>0</v>
      </c>
      <c r="E242" s="8">
        <f>'Rail Expenses'!F174</f>
        <v>0</v>
      </c>
      <c r="F242" s="8">
        <f>'Rail Expenses'!G174</f>
        <v>0</v>
      </c>
      <c r="G242" s="8">
        <f>'Rail Expenses'!H174</f>
        <v>0</v>
      </c>
      <c r="H242" s="8">
        <f>'Rail Expenses'!I174</f>
        <v>0</v>
      </c>
      <c r="I242" s="8">
        <f>'Rail Expenses'!J174</f>
        <v>0</v>
      </c>
    </row>
    <row r="243" spans="2:9" ht="9.75" outlineLevel="1">
      <c r="B243" s="22" t="str">
        <f>rail10</f>
        <v>Route 10</v>
      </c>
      <c r="C243" s="6" t="s">
        <v>85</v>
      </c>
      <c r="D243" s="8">
        <f>'Rail Expenses'!E175</f>
        <v>0</v>
      </c>
      <c r="E243" s="8">
        <f>'Rail Expenses'!F175</f>
        <v>0</v>
      </c>
      <c r="F243" s="8">
        <f>'Rail Expenses'!G175</f>
        <v>0</v>
      </c>
      <c r="G243" s="8">
        <f>'Rail Expenses'!H175</f>
        <v>0</v>
      </c>
      <c r="H243" s="8">
        <f>'Rail Expenses'!I175</f>
        <v>0</v>
      </c>
      <c r="I243" s="8">
        <f>'Rail Expenses'!J175</f>
        <v>0</v>
      </c>
    </row>
    <row r="244" spans="2:9" ht="9.75" outlineLevel="1">
      <c r="B244" s="22" t="str">
        <f>rail11</f>
        <v>Route 11</v>
      </c>
      <c r="C244" s="6" t="s">
        <v>85</v>
      </c>
      <c r="D244" s="8">
        <f>'Rail Expenses'!E176</f>
        <v>0</v>
      </c>
      <c r="E244" s="8">
        <f>'Rail Expenses'!F176</f>
        <v>0</v>
      </c>
      <c r="F244" s="8">
        <f>'Rail Expenses'!G176</f>
        <v>0</v>
      </c>
      <c r="G244" s="8">
        <f>'Rail Expenses'!H176</f>
        <v>0</v>
      </c>
      <c r="H244" s="8">
        <f>'Rail Expenses'!I176</f>
        <v>0</v>
      </c>
      <c r="I244" s="8">
        <f>'Rail Expenses'!J176</f>
        <v>0</v>
      </c>
    </row>
    <row r="245" spans="2:9" ht="9.75" outlineLevel="1">
      <c r="B245" s="22" t="str">
        <f>rail12</f>
        <v>Route 12</v>
      </c>
      <c r="C245" s="6" t="s">
        <v>85</v>
      </c>
      <c r="D245" s="8">
        <f>'Rail Expenses'!E177</f>
        <v>0</v>
      </c>
      <c r="E245" s="8">
        <f>'Rail Expenses'!F177</f>
        <v>0</v>
      </c>
      <c r="F245" s="8">
        <f>'Rail Expenses'!G177</f>
        <v>0</v>
      </c>
      <c r="G245" s="8">
        <f>'Rail Expenses'!H177</f>
        <v>0</v>
      </c>
      <c r="H245" s="8">
        <f>'Rail Expenses'!I177</f>
        <v>0</v>
      </c>
      <c r="I245" s="8">
        <f>'Rail Expenses'!J177</f>
        <v>0</v>
      </c>
    </row>
    <row r="246" spans="2:9" ht="9.75" outlineLevel="1">
      <c r="B246" s="22" t="str">
        <f>rail13</f>
        <v>Route 13</v>
      </c>
      <c r="C246" s="6" t="s">
        <v>85</v>
      </c>
      <c r="D246" s="8">
        <f>'Rail Expenses'!E178</f>
        <v>0</v>
      </c>
      <c r="E246" s="8">
        <f>'Rail Expenses'!F178</f>
        <v>0</v>
      </c>
      <c r="F246" s="8">
        <f>'Rail Expenses'!G178</f>
        <v>0</v>
      </c>
      <c r="G246" s="8">
        <f>'Rail Expenses'!H178</f>
        <v>0</v>
      </c>
      <c r="H246" s="8">
        <f>'Rail Expenses'!I178</f>
        <v>0</v>
      </c>
      <c r="I246" s="8">
        <f>'Rail Expenses'!J178</f>
        <v>0</v>
      </c>
    </row>
    <row r="247" spans="2:9" ht="9.75" outlineLevel="1">
      <c r="B247" s="22" t="str">
        <f>rail14</f>
        <v>Route 14</v>
      </c>
      <c r="C247" s="6" t="s">
        <v>85</v>
      </c>
      <c r="D247" s="8">
        <f>'Rail Expenses'!E179</f>
        <v>0</v>
      </c>
      <c r="E247" s="8">
        <f>'Rail Expenses'!F179</f>
        <v>0</v>
      </c>
      <c r="F247" s="8">
        <f>'Rail Expenses'!G179</f>
        <v>0</v>
      </c>
      <c r="G247" s="8">
        <f>'Rail Expenses'!H179</f>
        <v>0</v>
      </c>
      <c r="H247" s="8">
        <f>'Rail Expenses'!I179</f>
        <v>0</v>
      </c>
      <c r="I247" s="8">
        <f>'Rail Expenses'!J179</f>
        <v>0</v>
      </c>
    </row>
    <row r="248" spans="2:9" ht="9.75" outlineLevel="1">
      <c r="B248" s="22" t="str">
        <f>rail15</f>
        <v>Route 15</v>
      </c>
      <c r="C248" s="6" t="s">
        <v>85</v>
      </c>
      <c r="D248" s="8">
        <f>'Rail Expenses'!E180</f>
        <v>0</v>
      </c>
      <c r="E248" s="8">
        <f>'Rail Expenses'!F180</f>
        <v>0</v>
      </c>
      <c r="F248" s="8">
        <f>'Rail Expenses'!G180</f>
        <v>0</v>
      </c>
      <c r="G248" s="8">
        <f>'Rail Expenses'!H180</f>
        <v>0</v>
      </c>
      <c r="H248" s="8">
        <f>'Rail Expenses'!I180</f>
        <v>0</v>
      </c>
      <c r="I248" s="8">
        <f>'Rail Expenses'!J180</f>
        <v>0</v>
      </c>
    </row>
    <row r="249" spans="2:9" ht="9.75" outlineLevel="1">
      <c r="B249" s="22" t="str">
        <f>rail16</f>
        <v>Route 16</v>
      </c>
      <c r="C249" s="6" t="s">
        <v>85</v>
      </c>
      <c r="D249" s="8">
        <f>'Rail Expenses'!E181</f>
        <v>0</v>
      </c>
      <c r="E249" s="8">
        <f>'Rail Expenses'!F181</f>
        <v>0</v>
      </c>
      <c r="F249" s="8">
        <f>'Rail Expenses'!G181</f>
        <v>0</v>
      </c>
      <c r="G249" s="8">
        <f>'Rail Expenses'!H181</f>
        <v>0</v>
      </c>
      <c r="H249" s="8">
        <f>'Rail Expenses'!I181</f>
        <v>0</v>
      </c>
      <c r="I249" s="8">
        <f>'Rail Expenses'!J181</f>
        <v>0</v>
      </c>
    </row>
    <row r="250" spans="2:9" ht="9.75" outlineLevel="1">
      <c r="B250" s="22" t="str">
        <f>rail17</f>
        <v>Route 17</v>
      </c>
      <c r="C250" s="6" t="s">
        <v>85</v>
      </c>
      <c r="D250" s="8">
        <f>'Rail Expenses'!E182</f>
        <v>0</v>
      </c>
      <c r="E250" s="8">
        <f>'Rail Expenses'!F182</f>
        <v>0</v>
      </c>
      <c r="F250" s="8">
        <f>'Rail Expenses'!G182</f>
        <v>0</v>
      </c>
      <c r="G250" s="8">
        <f>'Rail Expenses'!H182</f>
        <v>0</v>
      </c>
      <c r="H250" s="8">
        <f>'Rail Expenses'!I182</f>
        <v>0</v>
      </c>
      <c r="I250" s="8">
        <f>'Rail Expenses'!J182</f>
        <v>0</v>
      </c>
    </row>
    <row r="251" spans="2:9" ht="9.75" outlineLevel="1">
      <c r="B251" s="22" t="str">
        <f>rail18</f>
        <v>Route 18</v>
      </c>
      <c r="C251" s="6" t="s">
        <v>85</v>
      </c>
      <c r="D251" s="8">
        <f>'Rail Expenses'!E183</f>
        <v>0</v>
      </c>
      <c r="E251" s="8">
        <f>'Rail Expenses'!F183</f>
        <v>0</v>
      </c>
      <c r="F251" s="8">
        <f>'Rail Expenses'!G183</f>
        <v>0</v>
      </c>
      <c r="G251" s="8">
        <f>'Rail Expenses'!H183</f>
        <v>0</v>
      </c>
      <c r="H251" s="8">
        <f>'Rail Expenses'!I183</f>
        <v>0</v>
      </c>
      <c r="I251" s="8">
        <f>'Rail Expenses'!J183</f>
        <v>0</v>
      </c>
    </row>
    <row r="252" spans="2:9" ht="9.75" outlineLevel="1">
      <c r="B252" s="22" t="str">
        <f>rail19</f>
        <v>Route 19</v>
      </c>
      <c r="C252" s="6" t="s">
        <v>85</v>
      </c>
      <c r="D252" s="8">
        <f>'Rail Expenses'!E184</f>
        <v>0</v>
      </c>
      <c r="E252" s="8">
        <f>'Rail Expenses'!F184</f>
        <v>0</v>
      </c>
      <c r="F252" s="8">
        <f>'Rail Expenses'!G184</f>
        <v>0</v>
      </c>
      <c r="G252" s="8">
        <f>'Rail Expenses'!H184</f>
        <v>0</v>
      </c>
      <c r="H252" s="8">
        <f>'Rail Expenses'!I184</f>
        <v>0</v>
      </c>
      <c r="I252" s="8">
        <f>'Rail Expenses'!J184</f>
        <v>0</v>
      </c>
    </row>
    <row r="253" spans="2:9" ht="9.75" outlineLevel="1">
      <c r="B253" s="22" t="str">
        <f>rail20</f>
        <v>Route 20</v>
      </c>
      <c r="C253" s="6" t="s">
        <v>85</v>
      </c>
      <c r="D253" s="8">
        <f>'Rail Expenses'!E185</f>
        <v>0</v>
      </c>
      <c r="E253" s="8">
        <f>'Rail Expenses'!F185</f>
        <v>0</v>
      </c>
      <c r="F253" s="8">
        <f>'Rail Expenses'!G185</f>
        <v>0</v>
      </c>
      <c r="G253" s="8">
        <f>'Rail Expenses'!H185</f>
        <v>0</v>
      </c>
      <c r="H253" s="8">
        <f>'Rail Expenses'!I185</f>
        <v>0</v>
      </c>
      <c r="I253" s="8">
        <f>'Rail Expenses'!J185</f>
        <v>0</v>
      </c>
    </row>
    <row r="254" spans="2:9" ht="9.75" outlineLevel="1">
      <c r="B254" s="1" t="s">
        <v>255</v>
      </c>
      <c r="C254" s="6" t="s">
        <v>85</v>
      </c>
      <c r="D254" s="170">
        <f aca="true" t="shared" si="11" ref="D254:I254">SUM(D234:D253)</f>
        <v>29665747.696399998</v>
      </c>
      <c r="E254" s="170">
        <f t="shared" si="11"/>
        <v>30555720.127292</v>
      </c>
      <c r="F254" s="170">
        <f t="shared" si="11"/>
        <v>31472391.73111076</v>
      </c>
      <c r="G254" s="170">
        <f t="shared" si="11"/>
        <v>32416563.483044084</v>
      </c>
      <c r="H254" s="170">
        <f t="shared" si="11"/>
        <v>33389060.387535412</v>
      </c>
      <c r="I254" s="170">
        <f t="shared" si="11"/>
        <v>34390732.19916147</v>
      </c>
    </row>
    <row r="255" ht="9.75" outlineLevel="1"/>
    <row r="256" spans="2:9" ht="9.75" outlineLevel="1">
      <c r="B256" s="2" t="s">
        <v>258</v>
      </c>
      <c r="C256" s="6" t="s">
        <v>85</v>
      </c>
      <c r="D256" s="30">
        <f aca="true" t="shared" si="12" ref="D256:I256">D208+D231+D254</f>
        <v>46770040.6964</v>
      </c>
      <c r="E256" s="30">
        <f t="shared" si="12"/>
        <v>48173141.917292</v>
      </c>
      <c r="F256" s="30">
        <f t="shared" si="12"/>
        <v>49618336.17481076</v>
      </c>
      <c r="G256" s="30">
        <f t="shared" si="12"/>
        <v>51106886.26005508</v>
      </c>
      <c r="H256" s="30">
        <f t="shared" si="12"/>
        <v>52640092.847856745</v>
      </c>
      <c r="I256" s="30">
        <f t="shared" si="12"/>
        <v>54219295.63329244</v>
      </c>
    </row>
    <row r="257" ht="9.75" outlineLevel="1"/>
    <row r="258" spans="1:2" ht="9.75">
      <c r="A258" s="198" t="str">
        <f>HYPERLINK(CONCATENATE(workbookname,"$A$7"),"Top")</f>
        <v>Top</v>
      </c>
      <c r="B258" s="3" t="str">
        <f>Contents!B92</f>
        <v>Asymmetric Risk Cost</v>
      </c>
    </row>
    <row r="259" ht="9.75">
      <c r="B259" s="171" t="str">
        <f>Contents!D92</f>
        <v>The asymmetric risk that is allocated to floor costing on the rail network</v>
      </c>
    </row>
    <row r="260" ht="9.75" outlineLevel="1"/>
    <row r="261" ht="9.75" outlineLevel="1">
      <c r="B261" s="2" t="s">
        <v>259</v>
      </c>
    </row>
    <row r="262" spans="2:9" ht="9.75" outlineLevel="1">
      <c r="B262" s="22" t="str">
        <f>rail1</f>
        <v>Cloudbreak to Port Dumper</v>
      </c>
      <c r="C262" s="6" t="s">
        <v>85</v>
      </c>
      <c r="D262" s="8">
        <f>'Rail Asset Calcs'!C72</f>
        <v>2256696.5252687475</v>
      </c>
      <c r="E262" s="8">
        <f>'Rail Asset Calcs'!D72</f>
        <v>2152836.985468058</v>
      </c>
      <c r="F262" s="8">
        <f>'Rail Asset Calcs'!E72</f>
        <v>2217422.0950320996</v>
      </c>
      <c r="G262" s="8">
        <f>'Rail Asset Calcs'!F72</f>
        <v>2283944.757883063</v>
      </c>
      <c r="H262" s="8">
        <f>'Rail Asset Calcs'!G72</f>
        <v>2352463.100619555</v>
      </c>
      <c r="I262" s="8">
        <f>'Rail Asset Calcs'!H72</f>
        <v>2423036.993638141</v>
      </c>
    </row>
    <row r="263" spans="2:9" ht="9.75" outlineLevel="1">
      <c r="B263" s="22" t="str">
        <f>rail2</f>
        <v>Route 2</v>
      </c>
      <c r="C263" s="6" t="s">
        <v>85</v>
      </c>
      <c r="D263" s="8">
        <f>'Rail Asset Calcs'!C73</f>
        <v>0</v>
      </c>
      <c r="E263" s="8">
        <f>'Rail Asset Calcs'!D73</f>
        <v>0</v>
      </c>
      <c r="F263" s="8">
        <f>'Rail Asset Calcs'!E73</f>
        <v>0</v>
      </c>
      <c r="G263" s="8">
        <f>'Rail Asset Calcs'!F73</f>
        <v>0</v>
      </c>
      <c r="H263" s="8">
        <f>'Rail Asset Calcs'!G73</f>
        <v>0</v>
      </c>
      <c r="I263" s="8">
        <f>'Rail Asset Calcs'!H73</f>
        <v>0</v>
      </c>
    </row>
    <row r="264" spans="2:9" ht="9.75" outlineLevel="1">
      <c r="B264" s="22" t="str">
        <f>rail3</f>
        <v>Route 3</v>
      </c>
      <c r="C264" s="6" t="s">
        <v>85</v>
      </c>
      <c r="D264" s="8">
        <f>'Rail Asset Calcs'!C74</f>
        <v>0</v>
      </c>
      <c r="E264" s="8">
        <f>'Rail Asset Calcs'!D74</f>
        <v>0</v>
      </c>
      <c r="F264" s="8">
        <f>'Rail Asset Calcs'!E74</f>
        <v>0</v>
      </c>
      <c r="G264" s="8">
        <f>'Rail Asset Calcs'!F74</f>
        <v>0</v>
      </c>
      <c r="H264" s="8">
        <f>'Rail Asset Calcs'!G74</f>
        <v>0</v>
      </c>
      <c r="I264" s="8">
        <f>'Rail Asset Calcs'!H74</f>
        <v>0</v>
      </c>
    </row>
    <row r="265" spans="2:9" ht="9.75" outlineLevel="1">
      <c r="B265" s="22" t="str">
        <f>rail4</f>
        <v>Route 4</v>
      </c>
      <c r="C265" s="6" t="s">
        <v>85</v>
      </c>
      <c r="D265" s="8">
        <f>'Rail Asset Calcs'!C75</f>
        <v>0</v>
      </c>
      <c r="E265" s="8">
        <f>'Rail Asset Calcs'!D75</f>
        <v>0</v>
      </c>
      <c r="F265" s="8">
        <f>'Rail Asset Calcs'!E75</f>
        <v>0</v>
      </c>
      <c r="G265" s="8">
        <f>'Rail Asset Calcs'!F75</f>
        <v>0</v>
      </c>
      <c r="H265" s="8">
        <f>'Rail Asset Calcs'!G75</f>
        <v>0</v>
      </c>
      <c r="I265" s="8">
        <f>'Rail Asset Calcs'!H75</f>
        <v>0</v>
      </c>
    </row>
    <row r="266" spans="2:9" ht="9.75" outlineLevel="1">
      <c r="B266" s="22" t="str">
        <f>rail5</f>
        <v>Route 5</v>
      </c>
      <c r="C266" s="6" t="s">
        <v>85</v>
      </c>
      <c r="D266" s="8">
        <f>'Rail Asset Calcs'!C76</f>
        <v>0</v>
      </c>
      <c r="E266" s="8">
        <f>'Rail Asset Calcs'!D76</f>
        <v>0</v>
      </c>
      <c r="F266" s="8">
        <f>'Rail Asset Calcs'!E76</f>
        <v>0</v>
      </c>
      <c r="G266" s="8">
        <f>'Rail Asset Calcs'!F76</f>
        <v>0</v>
      </c>
      <c r="H266" s="8">
        <f>'Rail Asset Calcs'!G76</f>
        <v>0</v>
      </c>
      <c r="I266" s="8">
        <f>'Rail Asset Calcs'!H76</f>
        <v>0</v>
      </c>
    </row>
    <row r="267" spans="2:9" ht="9.75" outlineLevel="1">
      <c r="B267" s="22" t="str">
        <f>rail6</f>
        <v>Route 6</v>
      </c>
      <c r="C267" s="6" t="s">
        <v>85</v>
      </c>
      <c r="D267" s="8">
        <f>'Rail Asset Calcs'!C77</f>
        <v>0</v>
      </c>
      <c r="E267" s="8">
        <f>'Rail Asset Calcs'!D77</f>
        <v>0</v>
      </c>
      <c r="F267" s="8">
        <f>'Rail Asset Calcs'!E77</f>
        <v>0</v>
      </c>
      <c r="G267" s="8">
        <f>'Rail Asset Calcs'!F77</f>
        <v>0</v>
      </c>
      <c r="H267" s="8">
        <f>'Rail Asset Calcs'!G77</f>
        <v>0</v>
      </c>
      <c r="I267" s="8">
        <f>'Rail Asset Calcs'!H77</f>
        <v>0</v>
      </c>
    </row>
    <row r="268" spans="2:9" ht="9.75" outlineLevel="1">
      <c r="B268" s="22" t="str">
        <f>rail7</f>
        <v>Route 7</v>
      </c>
      <c r="C268" s="6" t="s">
        <v>85</v>
      </c>
      <c r="D268" s="8">
        <f>'Rail Asset Calcs'!C78</f>
        <v>0</v>
      </c>
      <c r="E268" s="8">
        <f>'Rail Asset Calcs'!D78</f>
        <v>0</v>
      </c>
      <c r="F268" s="8">
        <f>'Rail Asset Calcs'!E78</f>
        <v>0</v>
      </c>
      <c r="G268" s="8">
        <f>'Rail Asset Calcs'!F78</f>
        <v>0</v>
      </c>
      <c r="H268" s="8">
        <f>'Rail Asset Calcs'!G78</f>
        <v>0</v>
      </c>
      <c r="I268" s="8">
        <f>'Rail Asset Calcs'!H78</f>
        <v>0</v>
      </c>
    </row>
    <row r="269" spans="2:9" ht="9.75" outlineLevel="1">
      <c r="B269" s="22" t="str">
        <f>rail8</f>
        <v>Route 8</v>
      </c>
      <c r="C269" s="6" t="s">
        <v>85</v>
      </c>
      <c r="D269" s="8">
        <f>'Rail Asset Calcs'!C79</f>
        <v>0</v>
      </c>
      <c r="E269" s="8">
        <f>'Rail Asset Calcs'!D79</f>
        <v>0</v>
      </c>
      <c r="F269" s="8">
        <f>'Rail Asset Calcs'!E79</f>
        <v>0</v>
      </c>
      <c r="G269" s="8">
        <f>'Rail Asset Calcs'!F79</f>
        <v>0</v>
      </c>
      <c r="H269" s="8">
        <f>'Rail Asset Calcs'!G79</f>
        <v>0</v>
      </c>
      <c r="I269" s="8">
        <f>'Rail Asset Calcs'!H79</f>
        <v>0</v>
      </c>
    </row>
    <row r="270" spans="2:9" ht="9.75" outlineLevel="1">
      <c r="B270" s="22" t="str">
        <f>rail9</f>
        <v>Route 9</v>
      </c>
      <c r="C270" s="6" t="s">
        <v>85</v>
      </c>
      <c r="D270" s="8">
        <f>'Rail Asset Calcs'!C80</f>
        <v>0</v>
      </c>
      <c r="E270" s="8">
        <f>'Rail Asset Calcs'!D80</f>
        <v>0</v>
      </c>
      <c r="F270" s="8">
        <f>'Rail Asset Calcs'!E80</f>
        <v>0</v>
      </c>
      <c r="G270" s="8">
        <f>'Rail Asset Calcs'!F80</f>
        <v>0</v>
      </c>
      <c r="H270" s="8">
        <f>'Rail Asset Calcs'!G80</f>
        <v>0</v>
      </c>
      <c r="I270" s="8">
        <f>'Rail Asset Calcs'!H80</f>
        <v>0</v>
      </c>
    </row>
    <row r="271" spans="2:9" ht="9.75" outlineLevel="1">
      <c r="B271" s="22" t="str">
        <f>rail10</f>
        <v>Route 10</v>
      </c>
      <c r="C271" s="6" t="s">
        <v>85</v>
      </c>
      <c r="D271" s="8">
        <f>'Rail Asset Calcs'!C81</f>
        <v>0</v>
      </c>
      <c r="E271" s="8">
        <f>'Rail Asset Calcs'!D81</f>
        <v>0</v>
      </c>
      <c r="F271" s="8">
        <f>'Rail Asset Calcs'!E81</f>
        <v>0</v>
      </c>
      <c r="G271" s="8">
        <f>'Rail Asset Calcs'!F81</f>
        <v>0</v>
      </c>
      <c r="H271" s="8">
        <f>'Rail Asset Calcs'!G81</f>
        <v>0</v>
      </c>
      <c r="I271" s="8">
        <f>'Rail Asset Calcs'!H81</f>
        <v>0</v>
      </c>
    </row>
    <row r="272" spans="2:9" ht="9.75" outlineLevel="1">
      <c r="B272" s="22" t="str">
        <f>rail11</f>
        <v>Route 11</v>
      </c>
      <c r="C272" s="6" t="s">
        <v>85</v>
      </c>
      <c r="D272" s="8">
        <f>'Rail Asset Calcs'!C82</f>
        <v>0</v>
      </c>
      <c r="E272" s="8">
        <f>'Rail Asset Calcs'!D82</f>
        <v>0</v>
      </c>
      <c r="F272" s="8">
        <f>'Rail Asset Calcs'!E82</f>
        <v>0</v>
      </c>
      <c r="G272" s="8">
        <f>'Rail Asset Calcs'!F82</f>
        <v>0</v>
      </c>
      <c r="H272" s="8">
        <f>'Rail Asset Calcs'!G82</f>
        <v>0</v>
      </c>
      <c r="I272" s="8">
        <f>'Rail Asset Calcs'!H82</f>
        <v>0</v>
      </c>
    </row>
    <row r="273" spans="2:9" ht="9.75" outlineLevel="1">
      <c r="B273" s="22" t="str">
        <f>rail12</f>
        <v>Route 12</v>
      </c>
      <c r="C273" s="6" t="s">
        <v>85</v>
      </c>
      <c r="D273" s="8">
        <f>'Rail Asset Calcs'!C83</f>
        <v>0</v>
      </c>
      <c r="E273" s="8">
        <f>'Rail Asset Calcs'!D83</f>
        <v>0</v>
      </c>
      <c r="F273" s="8">
        <f>'Rail Asset Calcs'!E83</f>
        <v>0</v>
      </c>
      <c r="G273" s="8">
        <f>'Rail Asset Calcs'!F83</f>
        <v>0</v>
      </c>
      <c r="H273" s="8">
        <f>'Rail Asset Calcs'!G83</f>
        <v>0</v>
      </c>
      <c r="I273" s="8">
        <f>'Rail Asset Calcs'!H83</f>
        <v>0</v>
      </c>
    </row>
    <row r="274" spans="2:9" ht="9.75" outlineLevel="1">
      <c r="B274" s="22" t="str">
        <f>rail13</f>
        <v>Route 13</v>
      </c>
      <c r="C274" s="6" t="s">
        <v>85</v>
      </c>
      <c r="D274" s="8">
        <f>'Rail Asset Calcs'!C84</f>
        <v>0</v>
      </c>
      <c r="E274" s="8">
        <f>'Rail Asset Calcs'!D84</f>
        <v>0</v>
      </c>
      <c r="F274" s="8">
        <f>'Rail Asset Calcs'!E84</f>
        <v>0</v>
      </c>
      <c r="G274" s="8">
        <f>'Rail Asset Calcs'!F84</f>
        <v>0</v>
      </c>
      <c r="H274" s="8">
        <f>'Rail Asset Calcs'!G84</f>
        <v>0</v>
      </c>
      <c r="I274" s="8">
        <f>'Rail Asset Calcs'!H84</f>
        <v>0</v>
      </c>
    </row>
    <row r="275" spans="2:9" ht="9.75" outlineLevel="1">
      <c r="B275" s="22" t="str">
        <f>rail14</f>
        <v>Route 14</v>
      </c>
      <c r="C275" s="6" t="s">
        <v>85</v>
      </c>
      <c r="D275" s="8">
        <f>'Rail Asset Calcs'!C85</f>
        <v>0</v>
      </c>
      <c r="E275" s="8">
        <f>'Rail Asset Calcs'!D85</f>
        <v>0</v>
      </c>
      <c r="F275" s="8">
        <f>'Rail Asset Calcs'!E85</f>
        <v>0</v>
      </c>
      <c r="G275" s="8">
        <f>'Rail Asset Calcs'!F85</f>
        <v>0</v>
      </c>
      <c r="H275" s="8">
        <f>'Rail Asset Calcs'!G85</f>
        <v>0</v>
      </c>
      <c r="I275" s="8">
        <f>'Rail Asset Calcs'!H85</f>
        <v>0</v>
      </c>
    </row>
    <row r="276" spans="2:9" ht="9.75" outlineLevel="1">
      <c r="B276" s="22" t="str">
        <f>rail15</f>
        <v>Route 15</v>
      </c>
      <c r="C276" s="6" t="s">
        <v>85</v>
      </c>
      <c r="D276" s="8">
        <f>'Rail Asset Calcs'!C86</f>
        <v>0</v>
      </c>
      <c r="E276" s="8">
        <f>'Rail Asset Calcs'!D86</f>
        <v>0</v>
      </c>
      <c r="F276" s="8">
        <f>'Rail Asset Calcs'!E86</f>
        <v>0</v>
      </c>
      <c r="G276" s="8">
        <f>'Rail Asset Calcs'!F86</f>
        <v>0</v>
      </c>
      <c r="H276" s="8">
        <f>'Rail Asset Calcs'!G86</f>
        <v>0</v>
      </c>
      <c r="I276" s="8">
        <f>'Rail Asset Calcs'!H86</f>
        <v>0</v>
      </c>
    </row>
    <row r="277" spans="2:9" ht="9.75" outlineLevel="1">
      <c r="B277" s="22" t="str">
        <f>rail16</f>
        <v>Route 16</v>
      </c>
      <c r="C277" s="6" t="s">
        <v>85</v>
      </c>
      <c r="D277" s="8">
        <f>'Rail Asset Calcs'!C87</f>
        <v>0</v>
      </c>
      <c r="E277" s="8">
        <f>'Rail Asset Calcs'!D87</f>
        <v>0</v>
      </c>
      <c r="F277" s="8">
        <f>'Rail Asset Calcs'!E87</f>
        <v>0</v>
      </c>
      <c r="G277" s="8">
        <f>'Rail Asset Calcs'!F87</f>
        <v>0</v>
      </c>
      <c r="H277" s="8">
        <f>'Rail Asset Calcs'!G87</f>
        <v>0</v>
      </c>
      <c r="I277" s="8">
        <f>'Rail Asset Calcs'!H87</f>
        <v>0</v>
      </c>
    </row>
    <row r="278" spans="2:9" ht="9.75" outlineLevel="1">
      <c r="B278" s="22" t="str">
        <f>rail17</f>
        <v>Route 17</v>
      </c>
      <c r="C278" s="6" t="s">
        <v>85</v>
      </c>
      <c r="D278" s="8">
        <f>'Rail Asset Calcs'!C88</f>
        <v>0</v>
      </c>
      <c r="E278" s="8">
        <f>'Rail Asset Calcs'!D88</f>
        <v>0</v>
      </c>
      <c r="F278" s="8">
        <f>'Rail Asset Calcs'!E88</f>
        <v>0</v>
      </c>
      <c r="G278" s="8">
        <f>'Rail Asset Calcs'!F88</f>
        <v>0</v>
      </c>
      <c r="H278" s="8">
        <f>'Rail Asset Calcs'!G88</f>
        <v>0</v>
      </c>
      <c r="I278" s="8">
        <f>'Rail Asset Calcs'!H88</f>
        <v>0</v>
      </c>
    </row>
    <row r="279" spans="2:9" ht="9.75" outlineLevel="1">
      <c r="B279" s="22" t="str">
        <f>rail18</f>
        <v>Route 18</v>
      </c>
      <c r="C279" s="6" t="s">
        <v>85</v>
      </c>
      <c r="D279" s="8">
        <f>'Rail Asset Calcs'!C89</f>
        <v>0</v>
      </c>
      <c r="E279" s="8">
        <f>'Rail Asset Calcs'!D89</f>
        <v>0</v>
      </c>
      <c r="F279" s="8">
        <f>'Rail Asset Calcs'!E89</f>
        <v>0</v>
      </c>
      <c r="G279" s="8">
        <f>'Rail Asset Calcs'!F89</f>
        <v>0</v>
      </c>
      <c r="H279" s="8">
        <f>'Rail Asset Calcs'!G89</f>
        <v>0</v>
      </c>
      <c r="I279" s="8">
        <f>'Rail Asset Calcs'!H89</f>
        <v>0</v>
      </c>
    </row>
    <row r="280" spans="2:9" ht="9.75" outlineLevel="1">
      <c r="B280" s="22" t="str">
        <f>rail19</f>
        <v>Route 19</v>
      </c>
      <c r="C280" s="6" t="s">
        <v>85</v>
      </c>
      <c r="D280" s="8">
        <f>'Rail Asset Calcs'!C90</f>
        <v>0</v>
      </c>
      <c r="E280" s="8">
        <f>'Rail Asset Calcs'!D90</f>
        <v>0</v>
      </c>
      <c r="F280" s="8">
        <f>'Rail Asset Calcs'!E90</f>
        <v>0</v>
      </c>
      <c r="G280" s="8">
        <f>'Rail Asset Calcs'!F90</f>
        <v>0</v>
      </c>
      <c r="H280" s="8">
        <f>'Rail Asset Calcs'!G90</f>
        <v>0</v>
      </c>
      <c r="I280" s="8">
        <f>'Rail Asset Calcs'!H90</f>
        <v>0</v>
      </c>
    </row>
    <row r="281" spans="2:9" ht="9.75" outlineLevel="1">
      <c r="B281" s="22" t="str">
        <f>rail20</f>
        <v>Route 20</v>
      </c>
      <c r="C281" s="6" t="s">
        <v>85</v>
      </c>
      <c r="D281" s="8">
        <f>'Rail Asset Calcs'!C91</f>
        <v>0</v>
      </c>
      <c r="E281" s="8">
        <f>'Rail Asset Calcs'!D91</f>
        <v>0</v>
      </c>
      <c r="F281" s="8">
        <f>'Rail Asset Calcs'!E91</f>
        <v>0</v>
      </c>
      <c r="G281" s="8">
        <f>'Rail Asset Calcs'!F91</f>
        <v>0</v>
      </c>
      <c r="H281" s="8">
        <f>'Rail Asset Calcs'!G91</f>
        <v>0</v>
      </c>
      <c r="I281" s="8">
        <f>'Rail Asset Calcs'!H91</f>
        <v>0</v>
      </c>
    </row>
    <row r="282" spans="2:9" ht="9.75" outlineLevel="1">
      <c r="B282" s="1" t="s">
        <v>260</v>
      </c>
      <c r="C282" s="6" t="s">
        <v>85</v>
      </c>
      <c r="D282" s="170">
        <f aca="true" t="shared" si="13" ref="D282:I282">SUM(D262:D281)</f>
        <v>2256696.5252687475</v>
      </c>
      <c r="E282" s="170">
        <f t="shared" si="13"/>
        <v>2152836.985468058</v>
      </c>
      <c r="F282" s="170">
        <f t="shared" si="13"/>
        <v>2217422.0950320996</v>
      </c>
      <c r="G282" s="170">
        <f t="shared" si="13"/>
        <v>2283944.757883063</v>
      </c>
      <c r="H282" s="170">
        <f t="shared" si="13"/>
        <v>2352463.100619555</v>
      </c>
      <c r="I282" s="170">
        <f t="shared" si="13"/>
        <v>2423036.993638141</v>
      </c>
    </row>
    <row r="283" ht="9.75" outlineLevel="1"/>
    <row r="284" spans="2:9" ht="9.75" outlineLevel="1">
      <c r="B284" s="2" t="s">
        <v>261</v>
      </c>
      <c r="C284" s="6" t="s">
        <v>85</v>
      </c>
      <c r="D284" s="30">
        <f aca="true" t="shared" si="14" ref="D284:I284">D282</f>
        <v>2256696.5252687475</v>
      </c>
      <c r="E284" s="30">
        <f t="shared" si="14"/>
        <v>2152836.985468058</v>
      </c>
      <c r="F284" s="30">
        <f t="shared" si="14"/>
        <v>2217422.0950320996</v>
      </c>
      <c r="G284" s="30">
        <f t="shared" si="14"/>
        <v>2283944.757883063</v>
      </c>
      <c r="H284" s="30">
        <f t="shared" si="14"/>
        <v>2352463.100619555</v>
      </c>
      <c r="I284" s="30">
        <f t="shared" si="14"/>
        <v>2423036.993638141</v>
      </c>
    </row>
    <row r="285" ht="9.75" outlineLevel="1"/>
    <row r="286" spans="1:2" ht="9.75">
      <c r="A286" s="198" t="str">
        <f>HYPERLINK(CONCATENATE(workbookname,"$A$7"),"Top")</f>
        <v>Top</v>
      </c>
      <c r="B286" s="3" t="str">
        <f>Contents!B93</f>
        <v>Total Floor Costs</v>
      </c>
    </row>
    <row r="287" ht="9.75">
      <c r="B287" s="171" t="str">
        <f>Contents!D93</f>
        <v>A total of the above totals</v>
      </c>
    </row>
    <row r="288" ht="9.75" outlineLevel="1"/>
    <row r="289" ht="9.75" outlineLevel="1">
      <c r="B289" s="2" t="s">
        <v>268</v>
      </c>
    </row>
    <row r="290" spans="2:9" ht="9.75" outlineLevel="1">
      <c r="B290" s="22" t="str">
        <f>rail1</f>
        <v>Cloudbreak to Port Dumper</v>
      </c>
      <c r="C290" s="6" t="s">
        <v>85</v>
      </c>
      <c r="D290" s="8">
        <f aca="true" t="shared" si="15" ref="D290:I305">SUMIF($B$30:$B$284,$B290,D$30:D$284)</f>
        <v>203005767.05441853</v>
      </c>
      <c r="E290" s="8">
        <f t="shared" si="15"/>
        <v>204305008.73550987</v>
      </c>
      <c r="F290" s="8">
        <f t="shared" si="15"/>
        <v>205814788.10259265</v>
      </c>
      <c r="G290" s="8">
        <f t="shared" si="15"/>
        <v>207369860.85068798</v>
      </c>
      <c r="H290" s="8">
        <f t="shared" si="15"/>
        <v>208971585.78122613</v>
      </c>
      <c r="I290" s="8">
        <f t="shared" si="15"/>
        <v>210621362.45968038</v>
      </c>
    </row>
    <row r="291" spans="2:9" ht="9.75" outlineLevel="1">
      <c r="B291" s="22" t="str">
        <f>rail2</f>
        <v>Route 2</v>
      </c>
      <c r="C291" s="6" t="s">
        <v>85</v>
      </c>
      <c r="D291" s="8">
        <f t="shared" si="15"/>
        <v>0</v>
      </c>
      <c r="E291" s="8">
        <f t="shared" si="15"/>
        <v>0</v>
      </c>
      <c r="F291" s="8">
        <f t="shared" si="15"/>
        <v>0</v>
      </c>
      <c r="G291" s="8">
        <f t="shared" si="15"/>
        <v>0</v>
      </c>
      <c r="H291" s="8">
        <f t="shared" si="15"/>
        <v>0</v>
      </c>
      <c r="I291" s="8">
        <f t="shared" si="15"/>
        <v>0</v>
      </c>
    </row>
    <row r="292" spans="2:9" ht="9.75" outlineLevel="1">
      <c r="B292" s="22" t="str">
        <f>rail3</f>
        <v>Route 3</v>
      </c>
      <c r="C292" s="6" t="s">
        <v>85</v>
      </c>
      <c r="D292" s="8">
        <f t="shared" si="15"/>
        <v>0</v>
      </c>
      <c r="E292" s="8">
        <f t="shared" si="15"/>
        <v>0</v>
      </c>
      <c r="F292" s="8">
        <f t="shared" si="15"/>
        <v>0</v>
      </c>
      <c r="G292" s="8">
        <f t="shared" si="15"/>
        <v>0</v>
      </c>
      <c r="H292" s="8">
        <f t="shared" si="15"/>
        <v>0</v>
      </c>
      <c r="I292" s="8">
        <f t="shared" si="15"/>
        <v>0</v>
      </c>
    </row>
    <row r="293" spans="2:9" ht="9.75" outlineLevel="1">
      <c r="B293" s="22" t="str">
        <f>rail4</f>
        <v>Route 4</v>
      </c>
      <c r="C293" s="6" t="s">
        <v>85</v>
      </c>
      <c r="D293" s="8">
        <f t="shared" si="15"/>
        <v>0</v>
      </c>
      <c r="E293" s="8">
        <f t="shared" si="15"/>
        <v>0</v>
      </c>
      <c r="F293" s="8">
        <f t="shared" si="15"/>
        <v>0</v>
      </c>
      <c r="G293" s="8">
        <f t="shared" si="15"/>
        <v>0</v>
      </c>
      <c r="H293" s="8">
        <f t="shared" si="15"/>
        <v>0</v>
      </c>
      <c r="I293" s="8">
        <f t="shared" si="15"/>
        <v>0</v>
      </c>
    </row>
    <row r="294" spans="2:9" ht="9.75" outlineLevel="1">
      <c r="B294" s="22" t="str">
        <f>rail5</f>
        <v>Route 5</v>
      </c>
      <c r="C294" s="6" t="s">
        <v>85</v>
      </c>
      <c r="D294" s="8">
        <f t="shared" si="15"/>
        <v>0</v>
      </c>
      <c r="E294" s="8">
        <f t="shared" si="15"/>
        <v>0</v>
      </c>
      <c r="F294" s="8">
        <f t="shared" si="15"/>
        <v>0</v>
      </c>
      <c r="G294" s="8">
        <f t="shared" si="15"/>
        <v>0</v>
      </c>
      <c r="H294" s="8">
        <f t="shared" si="15"/>
        <v>0</v>
      </c>
      <c r="I294" s="8">
        <f t="shared" si="15"/>
        <v>0</v>
      </c>
    </row>
    <row r="295" spans="2:9" ht="9.75" outlineLevel="1">
      <c r="B295" s="22" t="str">
        <f>rail6</f>
        <v>Route 6</v>
      </c>
      <c r="C295" s="6" t="s">
        <v>85</v>
      </c>
      <c r="D295" s="8">
        <f t="shared" si="15"/>
        <v>0</v>
      </c>
      <c r="E295" s="8">
        <f t="shared" si="15"/>
        <v>0</v>
      </c>
      <c r="F295" s="8">
        <f t="shared" si="15"/>
        <v>0</v>
      </c>
      <c r="G295" s="8">
        <f t="shared" si="15"/>
        <v>0</v>
      </c>
      <c r="H295" s="8">
        <f t="shared" si="15"/>
        <v>0</v>
      </c>
      <c r="I295" s="8">
        <f t="shared" si="15"/>
        <v>0</v>
      </c>
    </row>
    <row r="296" spans="2:9" ht="9.75" outlineLevel="1">
      <c r="B296" s="22" t="str">
        <f>rail7</f>
        <v>Route 7</v>
      </c>
      <c r="C296" s="6" t="s">
        <v>85</v>
      </c>
      <c r="D296" s="8">
        <f t="shared" si="15"/>
        <v>0</v>
      </c>
      <c r="E296" s="8">
        <f t="shared" si="15"/>
        <v>0</v>
      </c>
      <c r="F296" s="8">
        <f t="shared" si="15"/>
        <v>0</v>
      </c>
      <c r="G296" s="8">
        <f t="shared" si="15"/>
        <v>0</v>
      </c>
      <c r="H296" s="8">
        <f t="shared" si="15"/>
        <v>0</v>
      </c>
      <c r="I296" s="8">
        <f t="shared" si="15"/>
        <v>0</v>
      </c>
    </row>
    <row r="297" spans="2:9" ht="9.75" outlineLevel="1">
      <c r="B297" s="22" t="str">
        <f>rail8</f>
        <v>Route 8</v>
      </c>
      <c r="C297" s="6" t="s">
        <v>85</v>
      </c>
      <c r="D297" s="8">
        <f t="shared" si="15"/>
        <v>0</v>
      </c>
      <c r="E297" s="8">
        <f t="shared" si="15"/>
        <v>0</v>
      </c>
      <c r="F297" s="8">
        <f t="shared" si="15"/>
        <v>0</v>
      </c>
      <c r="G297" s="8">
        <f t="shared" si="15"/>
        <v>0</v>
      </c>
      <c r="H297" s="8">
        <f t="shared" si="15"/>
        <v>0</v>
      </c>
      <c r="I297" s="8">
        <f t="shared" si="15"/>
        <v>0</v>
      </c>
    </row>
    <row r="298" spans="2:9" ht="9.75" outlineLevel="1">
      <c r="B298" s="22" t="str">
        <f>rail9</f>
        <v>Route 9</v>
      </c>
      <c r="C298" s="6" t="s">
        <v>85</v>
      </c>
      <c r="D298" s="8">
        <f t="shared" si="15"/>
        <v>0</v>
      </c>
      <c r="E298" s="8">
        <f t="shared" si="15"/>
        <v>0</v>
      </c>
      <c r="F298" s="8">
        <f t="shared" si="15"/>
        <v>0</v>
      </c>
      <c r="G298" s="8">
        <f t="shared" si="15"/>
        <v>0</v>
      </c>
      <c r="H298" s="8">
        <f t="shared" si="15"/>
        <v>0</v>
      </c>
      <c r="I298" s="8">
        <f t="shared" si="15"/>
        <v>0</v>
      </c>
    </row>
    <row r="299" spans="2:9" ht="9.75" outlineLevel="1">
      <c r="B299" s="22" t="str">
        <f>rail10</f>
        <v>Route 10</v>
      </c>
      <c r="C299" s="6" t="s">
        <v>85</v>
      </c>
      <c r="D299" s="8">
        <f t="shared" si="15"/>
        <v>0</v>
      </c>
      <c r="E299" s="8">
        <f t="shared" si="15"/>
        <v>0</v>
      </c>
      <c r="F299" s="8">
        <f t="shared" si="15"/>
        <v>0</v>
      </c>
      <c r="G299" s="8">
        <f t="shared" si="15"/>
        <v>0</v>
      </c>
      <c r="H299" s="8">
        <f t="shared" si="15"/>
        <v>0</v>
      </c>
      <c r="I299" s="8">
        <f t="shared" si="15"/>
        <v>0</v>
      </c>
    </row>
    <row r="300" spans="2:9" ht="9.75" outlineLevel="1">
      <c r="B300" s="22" t="str">
        <f>rail11</f>
        <v>Route 11</v>
      </c>
      <c r="C300" s="6" t="s">
        <v>85</v>
      </c>
      <c r="D300" s="8">
        <f t="shared" si="15"/>
        <v>0</v>
      </c>
      <c r="E300" s="8">
        <f t="shared" si="15"/>
        <v>0</v>
      </c>
      <c r="F300" s="8">
        <f t="shared" si="15"/>
        <v>0</v>
      </c>
      <c r="G300" s="8">
        <f t="shared" si="15"/>
        <v>0</v>
      </c>
      <c r="H300" s="8">
        <f t="shared" si="15"/>
        <v>0</v>
      </c>
      <c r="I300" s="8">
        <f t="shared" si="15"/>
        <v>0</v>
      </c>
    </row>
    <row r="301" spans="2:9" ht="9.75" outlineLevel="1">
      <c r="B301" s="22" t="str">
        <f>rail12</f>
        <v>Route 12</v>
      </c>
      <c r="C301" s="6" t="s">
        <v>85</v>
      </c>
      <c r="D301" s="8">
        <f t="shared" si="15"/>
        <v>0</v>
      </c>
      <c r="E301" s="8">
        <f t="shared" si="15"/>
        <v>0</v>
      </c>
      <c r="F301" s="8">
        <f t="shared" si="15"/>
        <v>0</v>
      </c>
      <c r="G301" s="8">
        <f t="shared" si="15"/>
        <v>0</v>
      </c>
      <c r="H301" s="8">
        <f t="shared" si="15"/>
        <v>0</v>
      </c>
      <c r="I301" s="8">
        <f t="shared" si="15"/>
        <v>0</v>
      </c>
    </row>
    <row r="302" spans="2:9" ht="9.75" outlineLevel="1">
      <c r="B302" s="22" t="str">
        <f>rail13</f>
        <v>Route 13</v>
      </c>
      <c r="C302" s="6" t="s">
        <v>85</v>
      </c>
      <c r="D302" s="8">
        <f t="shared" si="15"/>
        <v>0</v>
      </c>
      <c r="E302" s="8">
        <f t="shared" si="15"/>
        <v>0</v>
      </c>
      <c r="F302" s="8">
        <f t="shared" si="15"/>
        <v>0</v>
      </c>
      <c r="G302" s="8">
        <f t="shared" si="15"/>
        <v>0</v>
      </c>
      <c r="H302" s="8">
        <f t="shared" si="15"/>
        <v>0</v>
      </c>
      <c r="I302" s="8">
        <f t="shared" si="15"/>
        <v>0</v>
      </c>
    </row>
    <row r="303" spans="2:9" ht="9.75" outlineLevel="1">
      <c r="B303" s="22" t="str">
        <f>rail14</f>
        <v>Route 14</v>
      </c>
      <c r="C303" s="6" t="s">
        <v>85</v>
      </c>
      <c r="D303" s="8">
        <f t="shared" si="15"/>
        <v>0</v>
      </c>
      <c r="E303" s="8">
        <f t="shared" si="15"/>
        <v>0</v>
      </c>
      <c r="F303" s="8">
        <f t="shared" si="15"/>
        <v>0</v>
      </c>
      <c r="G303" s="8">
        <f t="shared" si="15"/>
        <v>0</v>
      </c>
      <c r="H303" s="8">
        <f t="shared" si="15"/>
        <v>0</v>
      </c>
      <c r="I303" s="8">
        <f t="shared" si="15"/>
        <v>0</v>
      </c>
    </row>
    <row r="304" spans="2:9" ht="9.75" outlineLevel="1">
      <c r="B304" s="22" t="str">
        <f>rail15</f>
        <v>Route 15</v>
      </c>
      <c r="C304" s="6" t="s">
        <v>85</v>
      </c>
      <c r="D304" s="8">
        <f t="shared" si="15"/>
        <v>0</v>
      </c>
      <c r="E304" s="8">
        <f t="shared" si="15"/>
        <v>0</v>
      </c>
      <c r="F304" s="8">
        <f t="shared" si="15"/>
        <v>0</v>
      </c>
      <c r="G304" s="8">
        <f t="shared" si="15"/>
        <v>0</v>
      </c>
      <c r="H304" s="8">
        <f t="shared" si="15"/>
        <v>0</v>
      </c>
      <c r="I304" s="8">
        <f t="shared" si="15"/>
        <v>0</v>
      </c>
    </row>
    <row r="305" spans="2:9" ht="9.75" outlineLevel="1">
      <c r="B305" s="22" t="str">
        <f>rail16</f>
        <v>Route 16</v>
      </c>
      <c r="C305" s="6" t="s">
        <v>85</v>
      </c>
      <c r="D305" s="8">
        <f t="shared" si="15"/>
        <v>0</v>
      </c>
      <c r="E305" s="8">
        <f t="shared" si="15"/>
        <v>0</v>
      </c>
      <c r="F305" s="8">
        <f t="shared" si="15"/>
        <v>0</v>
      </c>
      <c r="G305" s="8">
        <f t="shared" si="15"/>
        <v>0</v>
      </c>
      <c r="H305" s="8">
        <f t="shared" si="15"/>
        <v>0</v>
      </c>
      <c r="I305" s="8">
        <f t="shared" si="15"/>
        <v>0</v>
      </c>
    </row>
    <row r="306" spans="2:9" ht="9.75" outlineLevel="1">
      <c r="B306" s="22" t="str">
        <f>rail17</f>
        <v>Route 17</v>
      </c>
      <c r="C306" s="6" t="s">
        <v>85</v>
      </c>
      <c r="D306" s="8">
        <f aca="true" t="shared" si="16" ref="D306:I309">SUMIF($B$30:$B$284,$B306,D$30:D$284)</f>
        <v>0</v>
      </c>
      <c r="E306" s="8">
        <f t="shared" si="16"/>
        <v>0</v>
      </c>
      <c r="F306" s="8">
        <f t="shared" si="16"/>
        <v>0</v>
      </c>
      <c r="G306" s="8">
        <f t="shared" si="16"/>
        <v>0</v>
      </c>
      <c r="H306" s="8">
        <f t="shared" si="16"/>
        <v>0</v>
      </c>
      <c r="I306" s="8">
        <f t="shared" si="16"/>
        <v>0</v>
      </c>
    </row>
    <row r="307" spans="2:9" ht="9.75" outlineLevel="1">
      <c r="B307" s="22" t="str">
        <f>rail18</f>
        <v>Route 18</v>
      </c>
      <c r="C307" s="6" t="s">
        <v>85</v>
      </c>
      <c r="D307" s="8">
        <f t="shared" si="16"/>
        <v>0</v>
      </c>
      <c r="E307" s="8">
        <f t="shared" si="16"/>
        <v>0</v>
      </c>
      <c r="F307" s="8">
        <f t="shared" si="16"/>
        <v>0</v>
      </c>
      <c r="G307" s="8">
        <f t="shared" si="16"/>
        <v>0</v>
      </c>
      <c r="H307" s="8">
        <f t="shared" si="16"/>
        <v>0</v>
      </c>
      <c r="I307" s="8">
        <f t="shared" si="16"/>
        <v>0</v>
      </c>
    </row>
    <row r="308" spans="2:9" ht="9.75" outlineLevel="1">
      <c r="B308" s="22" t="str">
        <f>rail19</f>
        <v>Route 19</v>
      </c>
      <c r="C308" s="6" t="s">
        <v>85</v>
      </c>
      <c r="D308" s="8">
        <f t="shared" si="16"/>
        <v>0</v>
      </c>
      <c r="E308" s="8">
        <f t="shared" si="16"/>
        <v>0</v>
      </c>
      <c r="F308" s="8">
        <f t="shared" si="16"/>
        <v>0</v>
      </c>
      <c r="G308" s="8">
        <f t="shared" si="16"/>
        <v>0</v>
      </c>
      <c r="H308" s="8">
        <f t="shared" si="16"/>
        <v>0</v>
      </c>
      <c r="I308" s="8">
        <f t="shared" si="16"/>
        <v>0</v>
      </c>
    </row>
    <row r="309" spans="2:9" ht="9.75" outlineLevel="1">
      <c r="B309" s="22" t="str">
        <f>rail20</f>
        <v>Route 20</v>
      </c>
      <c r="C309" s="6" t="s">
        <v>85</v>
      </c>
      <c r="D309" s="8">
        <f t="shared" si="16"/>
        <v>0</v>
      </c>
      <c r="E309" s="8">
        <f t="shared" si="16"/>
        <v>0</v>
      </c>
      <c r="F309" s="8">
        <f t="shared" si="16"/>
        <v>0</v>
      </c>
      <c r="G309" s="8">
        <f t="shared" si="16"/>
        <v>0</v>
      </c>
      <c r="H309" s="8">
        <f t="shared" si="16"/>
        <v>0</v>
      </c>
      <c r="I309" s="8">
        <f t="shared" si="16"/>
        <v>0</v>
      </c>
    </row>
    <row r="310" spans="2:9" ht="9.75" outlineLevel="1">
      <c r="B310" s="2" t="s">
        <v>263</v>
      </c>
      <c r="C310" s="6" t="s">
        <v>85</v>
      </c>
      <c r="D310" s="23">
        <f aca="true" t="shared" si="17" ref="D310:I310">SUM(D290:D309)</f>
        <v>203005767.05441853</v>
      </c>
      <c r="E310" s="23">
        <f t="shared" si="17"/>
        <v>204305008.73550987</v>
      </c>
      <c r="F310" s="23">
        <f t="shared" si="17"/>
        <v>205814788.10259265</v>
      </c>
      <c r="G310" s="23">
        <f t="shared" si="17"/>
        <v>207369860.85068798</v>
      </c>
      <c r="H310" s="23">
        <f t="shared" si="17"/>
        <v>208971585.78122613</v>
      </c>
      <c r="I310" s="23">
        <f t="shared" si="17"/>
        <v>210621362.45968038</v>
      </c>
    </row>
    <row r="311" spans="2:9" ht="9.75" outlineLevel="1">
      <c r="B311" s="2"/>
      <c r="D311" s="31"/>
      <c r="E311" s="31"/>
      <c r="F311" s="31"/>
      <c r="G311" s="31"/>
      <c r="H311" s="31"/>
      <c r="I311" s="31"/>
    </row>
    <row r="312" ht="9.75" outlineLevel="1">
      <c r="B312" s="171" t="s">
        <v>266</v>
      </c>
    </row>
    <row r="313" spans="2:9" ht="9.75" outlineLevel="1">
      <c r="B313" s="22" t="s">
        <v>267</v>
      </c>
      <c r="D313" s="17">
        <f aca="true" t="shared" si="18" ref="D313:I313">SUM(D54,D77,D106,D129,D157,D180,D208,D231,D254,D282)</f>
        <v>203005767.05441853</v>
      </c>
      <c r="E313" s="17">
        <f t="shared" si="18"/>
        <v>204305008.73550987</v>
      </c>
      <c r="F313" s="17">
        <f t="shared" si="18"/>
        <v>205814788.10259265</v>
      </c>
      <c r="G313" s="17">
        <f t="shared" si="18"/>
        <v>207369860.85068798</v>
      </c>
      <c r="H313" s="17">
        <f t="shared" si="18"/>
        <v>208971585.78122613</v>
      </c>
      <c r="I313" s="17">
        <f t="shared" si="18"/>
        <v>210621362.45968038</v>
      </c>
    </row>
    <row r="314" spans="2:9" ht="9.75" outlineLevel="1">
      <c r="B314" s="1" t="s">
        <v>264</v>
      </c>
      <c r="D314" s="11">
        <f aca="true" t="shared" si="19" ref="D314:I314">D310-D313</f>
        <v>0</v>
      </c>
      <c r="E314" s="11">
        <f t="shared" si="19"/>
        <v>0</v>
      </c>
      <c r="F314" s="11">
        <f t="shared" si="19"/>
        <v>0</v>
      </c>
      <c r="G314" s="11">
        <f t="shared" si="19"/>
        <v>0</v>
      </c>
      <c r="H314" s="11">
        <f t="shared" si="19"/>
        <v>0</v>
      </c>
      <c r="I314" s="11">
        <f t="shared" si="19"/>
        <v>0</v>
      </c>
    </row>
    <row r="315" spans="4:9" ht="9.75" outlineLevel="1">
      <c r="D315" s="11"/>
      <c r="E315" s="11"/>
      <c r="F315" s="11"/>
      <c r="G315" s="11"/>
      <c r="H315" s="11"/>
      <c r="I315" s="11"/>
    </row>
    <row r="316" ht="9.75" outlineLevel="1">
      <c r="B316" s="171" t="s">
        <v>265</v>
      </c>
    </row>
    <row r="317" spans="2:9" ht="9.75" outlineLevel="1">
      <c r="B317" s="22" t="s">
        <v>37</v>
      </c>
      <c r="D317" s="8">
        <f aca="true" t="shared" si="20" ref="D317:I317">SUMIF($B$30:$B$284,$B317,D$30:D$284)</f>
        <v>153979029.8327498</v>
      </c>
      <c r="E317" s="8">
        <f t="shared" si="20"/>
        <v>153979029.8327498</v>
      </c>
      <c r="F317" s="8">
        <f t="shared" si="20"/>
        <v>153979029.8327498</v>
      </c>
      <c r="G317" s="8">
        <f t="shared" si="20"/>
        <v>153979029.8327498</v>
      </c>
      <c r="H317" s="8">
        <f t="shared" si="20"/>
        <v>153979029.8327498</v>
      </c>
      <c r="I317" s="8">
        <f t="shared" si="20"/>
        <v>153979029.8327498</v>
      </c>
    </row>
    <row r="318" spans="2:9" ht="9.75" outlineLevel="1">
      <c r="B318" s="22" t="s">
        <v>243</v>
      </c>
      <c r="D318" s="8">
        <f aca="true" t="shared" si="21" ref="D318:I321">SUMIF($B$30:$B$284,$B318,D$30:D$284)</f>
        <v>0</v>
      </c>
      <c r="E318" s="8">
        <f t="shared" si="21"/>
        <v>0</v>
      </c>
      <c r="F318" s="8">
        <f t="shared" si="21"/>
        <v>0</v>
      </c>
      <c r="G318" s="8">
        <f t="shared" si="21"/>
        <v>0</v>
      </c>
      <c r="H318" s="8">
        <f t="shared" si="21"/>
        <v>0</v>
      </c>
      <c r="I318" s="8">
        <f t="shared" si="21"/>
        <v>0</v>
      </c>
    </row>
    <row r="319" spans="2:9" ht="9.75" outlineLevel="1">
      <c r="B319" s="22" t="s">
        <v>45</v>
      </c>
      <c r="D319" s="8">
        <f t="shared" si="21"/>
        <v>0</v>
      </c>
      <c r="E319" s="8">
        <f t="shared" si="21"/>
        <v>0</v>
      </c>
      <c r="F319" s="8">
        <f t="shared" si="21"/>
        <v>0</v>
      </c>
      <c r="G319" s="8">
        <f t="shared" si="21"/>
        <v>0</v>
      </c>
      <c r="H319" s="8">
        <f t="shared" si="21"/>
        <v>0</v>
      </c>
      <c r="I319" s="8">
        <f t="shared" si="21"/>
        <v>0</v>
      </c>
    </row>
    <row r="320" spans="2:9" ht="9.75" outlineLevel="1">
      <c r="B320" s="22" t="s">
        <v>258</v>
      </c>
      <c r="D320" s="8">
        <f t="shared" si="21"/>
        <v>46770040.6964</v>
      </c>
      <c r="E320" s="8">
        <f t="shared" si="21"/>
        <v>48173141.917292</v>
      </c>
      <c r="F320" s="8">
        <f t="shared" si="21"/>
        <v>49618336.17481076</v>
      </c>
      <c r="G320" s="8">
        <f t="shared" si="21"/>
        <v>51106886.26005508</v>
      </c>
      <c r="H320" s="8">
        <f t="shared" si="21"/>
        <v>52640092.847856745</v>
      </c>
      <c r="I320" s="8">
        <f t="shared" si="21"/>
        <v>54219295.63329244</v>
      </c>
    </row>
    <row r="321" spans="2:9" ht="9.75" outlineLevel="1">
      <c r="B321" s="22" t="s">
        <v>261</v>
      </c>
      <c r="D321" s="8">
        <f t="shared" si="21"/>
        <v>2256696.5252687475</v>
      </c>
      <c r="E321" s="8">
        <f t="shared" si="21"/>
        <v>2152836.985468058</v>
      </c>
      <c r="F321" s="8">
        <f t="shared" si="21"/>
        <v>2217422.0950320996</v>
      </c>
      <c r="G321" s="8">
        <f t="shared" si="21"/>
        <v>2283944.757883063</v>
      </c>
      <c r="H321" s="8">
        <f t="shared" si="21"/>
        <v>2352463.100619555</v>
      </c>
      <c r="I321" s="8">
        <f t="shared" si="21"/>
        <v>2423036.993638141</v>
      </c>
    </row>
    <row r="322" spans="2:9" ht="9.75" outlineLevel="1">
      <c r="B322" s="1" t="s">
        <v>94</v>
      </c>
      <c r="D322" s="170">
        <f aca="true" t="shared" si="22" ref="D322:I322">SUM(D317:D321)</f>
        <v>203005767.05441856</v>
      </c>
      <c r="E322" s="170">
        <f t="shared" si="22"/>
        <v>204305008.73550987</v>
      </c>
      <c r="F322" s="170">
        <f t="shared" si="22"/>
        <v>205814788.10259268</v>
      </c>
      <c r="G322" s="170">
        <f t="shared" si="22"/>
        <v>207369860.85068798</v>
      </c>
      <c r="H322" s="170">
        <f t="shared" si="22"/>
        <v>208971585.7812261</v>
      </c>
      <c r="I322" s="170">
        <f t="shared" si="22"/>
        <v>210621362.45968038</v>
      </c>
    </row>
    <row r="323" spans="2:9" ht="9.75" outlineLevel="1">
      <c r="B323" s="1" t="s">
        <v>264</v>
      </c>
      <c r="D323" s="11">
        <f aca="true" t="shared" si="23" ref="D323:I323">D310-D322</f>
        <v>0</v>
      </c>
      <c r="E323" s="11">
        <f t="shared" si="23"/>
        <v>0</v>
      </c>
      <c r="F323" s="11">
        <f t="shared" si="23"/>
        <v>0</v>
      </c>
      <c r="G323" s="11">
        <f t="shared" si="23"/>
        <v>0</v>
      </c>
      <c r="H323" s="11">
        <f t="shared" si="23"/>
        <v>0</v>
      </c>
      <c r="I323" s="11">
        <f t="shared" si="23"/>
        <v>0</v>
      </c>
    </row>
    <row r="324" ht="9.75" outlineLevel="1"/>
    <row r="325" spans="1:2" ht="9.75">
      <c r="A325" s="198" t="str">
        <f>HYPERLINK(CONCATENATE(workbookname,"$A$7"),"Top")</f>
        <v>Top</v>
      </c>
      <c r="B325" s="3" t="str">
        <f>Contents!B94</f>
        <v>Volumes</v>
      </c>
    </row>
    <row r="326" ht="9.75">
      <c r="B326" s="171" t="str">
        <f>Contents!D94</f>
        <v>Expected yearly volumes per segment across the rail network</v>
      </c>
    </row>
    <row r="327" ht="9.75" outlineLevel="1"/>
    <row r="328" ht="9.75" outlineLevel="1">
      <c r="B328" s="2" t="s">
        <v>270</v>
      </c>
    </row>
    <row r="329" spans="2:9" ht="9.75" outlineLevel="1">
      <c r="B329" s="22" t="str">
        <f>rail1</f>
        <v>Cloudbreak to Port Dumper</v>
      </c>
      <c r="C329" s="6" t="s">
        <v>271</v>
      </c>
      <c r="D329" s="8">
        <f>IF('Rail Expenses'!$C251=0,0,'Rail Expenses'!$M251/'Rail Expenses'!$C251)</f>
        <v>40000000</v>
      </c>
      <c r="E329" s="8">
        <f>IF('Rail Expenses'!$C251=0,0,'Rail Expenses'!$M251/'Rail Expenses'!$C251)</f>
        <v>40000000</v>
      </c>
      <c r="F329" s="8">
        <f>IF('Rail Expenses'!$C251=0,0,'Rail Expenses'!$M251/'Rail Expenses'!$C251)</f>
        <v>40000000</v>
      </c>
      <c r="G329" s="8">
        <f>IF('Rail Expenses'!$C251=0,0,'Rail Expenses'!$M251/'Rail Expenses'!$C251)</f>
        <v>40000000</v>
      </c>
      <c r="H329" s="8">
        <f>IF('Rail Expenses'!$C251=0,0,'Rail Expenses'!$M251/'Rail Expenses'!$C251)</f>
        <v>40000000</v>
      </c>
      <c r="I329" s="8">
        <f>IF('Rail Expenses'!$C251=0,0,'Rail Expenses'!$M251/'Rail Expenses'!$C251)</f>
        <v>40000000</v>
      </c>
    </row>
    <row r="330" spans="2:9" ht="9.75" outlineLevel="1">
      <c r="B330" s="22" t="str">
        <f>rail2</f>
        <v>Route 2</v>
      </c>
      <c r="C330" s="6" t="s">
        <v>271</v>
      </c>
      <c r="D330" s="8">
        <f>IF('Rail Expenses'!$C252=0,0,'Rail Expenses'!$M252/'Rail Expenses'!$C252)</f>
        <v>0</v>
      </c>
      <c r="E330" s="8">
        <f>IF('Rail Expenses'!$C252=0,0,'Rail Expenses'!$M252/'Rail Expenses'!$C252)</f>
        <v>0</v>
      </c>
      <c r="F330" s="8">
        <f>IF('Rail Expenses'!$C252=0,0,'Rail Expenses'!$M252/'Rail Expenses'!$C252)</f>
        <v>0</v>
      </c>
      <c r="G330" s="8">
        <f>IF('Rail Expenses'!$C252=0,0,'Rail Expenses'!$M252/'Rail Expenses'!$C252)</f>
        <v>0</v>
      </c>
      <c r="H330" s="8">
        <f>IF('Rail Expenses'!$C252=0,0,'Rail Expenses'!$M252/'Rail Expenses'!$C252)</f>
        <v>0</v>
      </c>
      <c r="I330" s="8">
        <f>IF('Rail Expenses'!$C252=0,0,'Rail Expenses'!$M252/'Rail Expenses'!$C252)</f>
        <v>0</v>
      </c>
    </row>
    <row r="331" spans="2:9" ht="9.75" outlineLevel="1">
      <c r="B331" s="22" t="str">
        <f>rail3</f>
        <v>Route 3</v>
      </c>
      <c r="C331" s="6" t="s">
        <v>271</v>
      </c>
      <c r="D331" s="8">
        <f>IF('Rail Expenses'!$C253=0,0,'Rail Expenses'!$M253/'Rail Expenses'!$C253)</f>
        <v>0</v>
      </c>
      <c r="E331" s="8">
        <f>IF('Rail Expenses'!$C253=0,0,'Rail Expenses'!$M253/'Rail Expenses'!$C253)</f>
        <v>0</v>
      </c>
      <c r="F331" s="8">
        <f>IF('Rail Expenses'!$C253=0,0,'Rail Expenses'!$M253/'Rail Expenses'!$C253)</f>
        <v>0</v>
      </c>
      <c r="G331" s="8">
        <f>IF('Rail Expenses'!$C253=0,0,'Rail Expenses'!$M253/'Rail Expenses'!$C253)</f>
        <v>0</v>
      </c>
      <c r="H331" s="8">
        <f>IF('Rail Expenses'!$C253=0,0,'Rail Expenses'!$M253/'Rail Expenses'!$C253)</f>
        <v>0</v>
      </c>
      <c r="I331" s="8">
        <f>IF('Rail Expenses'!$C253=0,0,'Rail Expenses'!$M253/'Rail Expenses'!$C253)</f>
        <v>0</v>
      </c>
    </row>
    <row r="332" spans="2:9" ht="9.75" outlineLevel="1">
      <c r="B332" s="22" t="str">
        <f>rail4</f>
        <v>Route 4</v>
      </c>
      <c r="C332" s="6" t="s">
        <v>271</v>
      </c>
      <c r="D332" s="8">
        <f>IF('Rail Expenses'!$C254=0,0,'Rail Expenses'!$M254/'Rail Expenses'!$C254)</f>
        <v>0</v>
      </c>
      <c r="E332" s="8">
        <f>IF('Rail Expenses'!$C254=0,0,'Rail Expenses'!$M254/'Rail Expenses'!$C254)</f>
        <v>0</v>
      </c>
      <c r="F332" s="8">
        <f>IF('Rail Expenses'!$C254=0,0,'Rail Expenses'!$M254/'Rail Expenses'!$C254)</f>
        <v>0</v>
      </c>
      <c r="G332" s="8">
        <f>IF('Rail Expenses'!$C254=0,0,'Rail Expenses'!$M254/'Rail Expenses'!$C254)</f>
        <v>0</v>
      </c>
      <c r="H332" s="8">
        <f>IF('Rail Expenses'!$C254=0,0,'Rail Expenses'!$M254/'Rail Expenses'!$C254)</f>
        <v>0</v>
      </c>
      <c r="I332" s="8">
        <f>IF('Rail Expenses'!$C254=0,0,'Rail Expenses'!$M254/'Rail Expenses'!$C254)</f>
        <v>0</v>
      </c>
    </row>
    <row r="333" spans="2:9" ht="9.75" outlineLevel="1">
      <c r="B333" s="22" t="str">
        <f>rail5</f>
        <v>Route 5</v>
      </c>
      <c r="C333" s="6" t="s">
        <v>271</v>
      </c>
      <c r="D333" s="8">
        <f>IF('Rail Expenses'!$C255=0,0,'Rail Expenses'!$M255/'Rail Expenses'!$C255)</f>
        <v>0</v>
      </c>
      <c r="E333" s="8">
        <f>IF('Rail Expenses'!$C255=0,0,'Rail Expenses'!$M255/'Rail Expenses'!$C255)</f>
        <v>0</v>
      </c>
      <c r="F333" s="8">
        <f>IF('Rail Expenses'!$C255=0,0,'Rail Expenses'!$M255/'Rail Expenses'!$C255)</f>
        <v>0</v>
      </c>
      <c r="G333" s="8">
        <f>IF('Rail Expenses'!$C255=0,0,'Rail Expenses'!$M255/'Rail Expenses'!$C255)</f>
        <v>0</v>
      </c>
      <c r="H333" s="8">
        <f>IF('Rail Expenses'!$C255=0,0,'Rail Expenses'!$M255/'Rail Expenses'!$C255)</f>
        <v>0</v>
      </c>
      <c r="I333" s="8">
        <f>IF('Rail Expenses'!$C255=0,0,'Rail Expenses'!$M255/'Rail Expenses'!$C255)</f>
        <v>0</v>
      </c>
    </row>
    <row r="334" spans="2:9" ht="9.75" outlineLevel="1">
      <c r="B334" s="22" t="str">
        <f>rail6</f>
        <v>Route 6</v>
      </c>
      <c r="C334" s="6" t="s">
        <v>271</v>
      </c>
      <c r="D334" s="8">
        <f>IF('Rail Expenses'!$C256=0,0,'Rail Expenses'!$M256/'Rail Expenses'!$C256)</f>
        <v>0</v>
      </c>
      <c r="E334" s="8">
        <f>IF('Rail Expenses'!$C256=0,0,'Rail Expenses'!$M256/'Rail Expenses'!$C256)</f>
        <v>0</v>
      </c>
      <c r="F334" s="8">
        <f>IF('Rail Expenses'!$C256=0,0,'Rail Expenses'!$M256/'Rail Expenses'!$C256)</f>
        <v>0</v>
      </c>
      <c r="G334" s="8">
        <f>IF('Rail Expenses'!$C256=0,0,'Rail Expenses'!$M256/'Rail Expenses'!$C256)</f>
        <v>0</v>
      </c>
      <c r="H334" s="8">
        <f>IF('Rail Expenses'!$C256=0,0,'Rail Expenses'!$M256/'Rail Expenses'!$C256)</f>
        <v>0</v>
      </c>
      <c r="I334" s="8">
        <f>IF('Rail Expenses'!$C256=0,0,'Rail Expenses'!$M256/'Rail Expenses'!$C256)</f>
        <v>0</v>
      </c>
    </row>
    <row r="335" spans="2:9" ht="9.75" outlineLevel="1">
      <c r="B335" s="22" t="str">
        <f>rail7</f>
        <v>Route 7</v>
      </c>
      <c r="C335" s="6" t="s">
        <v>271</v>
      </c>
      <c r="D335" s="8">
        <f>IF('Rail Expenses'!$C257=0,0,'Rail Expenses'!$M257/'Rail Expenses'!$C257)</f>
        <v>0</v>
      </c>
      <c r="E335" s="8">
        <f>IF('Rail Expenses'!$C257=0,0,'Rail Expenses'!$M257/'Rail Expenses'!$C257)</f>
        <v>0</v>
      </c>
      <c r="F335" s="8">
        <f>IF('Rail Expenses'!$C257=0,0,'Rail Expenses'!$M257/'Rail Expenses'!$C257)</f>
        <v>0</v>
      </c>
      <c r="G335" s="8">
        <f>IF('Rail Expenses'!$C257=0,0,'Rail Expenses'!$M257/'Rail Expenses'!$C257)</f>
        <v>0</v>
      </c>
      <c r="H335" s="8">
        <f>IF('Rail Expenses'!$C257=0,0,'Rail Expenses'!$M257/'Rail Expenses'!$C257)</f>
        <v>0</v>
      </c>
      <c r="I335" s="8">
        <f>IF('Rail Expenses'!$C257=0,0,'Rail Expenses'!$M257/'Rail Expenses'!$C257)</f>
        <v>0</v>
      </c>
    </row>
    <row r="336" spans="2:9" ht="9.75" outlineLevel="1">
      <c r="B336" s="22" t="str">
        <f>rail8</f>
        <v>Route 8</v>
      </c>
      <c r="C336" s="6" t="s">
        <v>271</v>
      </c>
      <c r="D336" s="8">
        <f>IF('Rail Expenses'!$C258=0,0,'Rail Expenses'!$M258/'Rail Expenses'!$C258)</f>
        <v>0</v>
      </c>
      <c r="E336" s="8">
        <f>IF('Rail Expenses'!$C258=0,0,'Rail Expenses'!$M258/'Rail Expenses'!$C258)</f>
        <v>0</v>
      </c>
      <c r="F336" s="8">
        <f>IF('Rail Expenses'!$C258=0,0,'Rail Expenses'!$M258/'Rail Expenses'!$C258)</f>
        <v>0</v>
      </c>
      <c r="G336" s="8">
        <f>IF('Rail Expenses'!$C258=0,0,'Rail Expenses'!$M258/'Rail Expenses'!$C258)</f>
        <v>0</v>
      </c>
      <c r="H336" s="8">
        <f>IF('Rail Expenses'!$C258=0,0,'Rail Expenses'!$M258/'Rail Expenses'!$C258)</f>
        <v>0</v>
      </c>
      <c r="I336" s="8">
        <f>IF('Rail Expenses'!$C258=0,0,'Rail Expenses'!$M258/'Rail Expenses'!$C258)</f>
        <v>0</v>
      </c>
    </row>
    <row r="337" spans="2:9" ht="9.75" outlineLevel="1">
      <c r="B337" s="22" t="str">
        <f>rail9</f>
        <v>Route 9</v>
      </c>
      <c r="C337" s="6" t="s">
        <v>271</v>
      </c>
      <c r="D337" s="8">
        <f>IF('Rail Expenses'!$C259=0,0,'Rail Expenses'!$M259/'Rail Expenses'!$C259)</f>
        <v>0</v>
      </c>
      <c r="E337" s="8">
        <f>IF('Rail Expenses'!$C259=0,0,'Rail Expenses'!$M259/'Rail Expenses'!$C259)</f>
        <v>0</v>
      </c>
      <c r="F337" s="8">
        <f>IF('Rail Expenses'!$C259=0,0,'Rail Expenses'!$M259/'Rail Expenses'!$C259)</f>
        <v>0</v>
      </c>
      <c r="G337" s="8">
        <f>IF('Rail Expenses'!$C259=0,0,'Rail Expenses'!$M259/'Rail Expenses'!$C259)</f>
        <v>0</v>
      </c>
      <c r="H337" s="8">
        <f>IF('Rail Expenses'!$C259=0,0,'Rail Expenses'!$M259/'Rail Expenses'!$C259)</f>
        <v>0</v>
      </c>
      <c r="I337" s="8">
        <f>IF('Rail Expenses'!$C259=0,0,'Rail Expenses'!$M259/'Rail Expenses'!$C259)</f>
        <v>0</v>
      </c>
    </row>
    <row r="338" spans="2:9" ht="9.75" outlineLevel="1">
      <c r="B338" s="22" t="str">
        <f>rail10</f>
        <v>Route 10</v>
      </c>
      <c r="C338" s="6" t="s">
        <v>271</v>
      </c>
      <c r="D338" s="8">
        <f>IF('Rail Expenses'!$C260=0,0,'Rail Expenses'!$M260/'Rail Expenses'!$C260)</f>
        <v>0</v>
      </c>
      <c r="E338" s="8">
        <f>IF('Rail Expenses'!$C260=0,0,'Rail Expenses'!$M260/'Rail Expenses'!$C260)</f>
        <v>0</v>
      </c>
      <c r="F338" s="8">
        <f>IF('Rail Expenses'!$C260=0,0,'Rail Expenses'!$M260/'Rail Expenses'!$C260)</f>
        <v>0</v>
      </c>
      <c r="G338" s="8">
        <f>IF('Rail Expenses'!$C260=0,0,'Rail Expenses'!$M260/'Rail Expenses'!$C260)</f>
        <v>0</v>
      </c>
      <c r="H338" s="8">
        <f>IF('Rail Expenses'!$C260=0,0,'Rail Expenses'!$M260/'Rail Expenses'!$C260)</f>
        <v>0</v>
      </c>
      <c r="I338" s="8">
        <f>IF('Rail Expenses'!$C260=0,0,'Rail Expenses'!$M260/'Rail Expenses'!$C260)</f>
        <v>0</v>
      </c>
    </row>
    <row r="339" spans="2:9" ht="9.75" outlineLevel="1">
      <c r="B339" s="22" t="str">
        <f>rail11</f>
        <v>Route 11</v>
      </c>
      <c r="C339" s="6" t="s">
        <v>271</v>
      </c>
      <c r="D339" s="8">
        <f>IF('Rail Expenses'!$C261=0,0,'Rail Expenses'!$M261/'Rail Expenses'!$C261)</f>
        <v>0</v>
      </c>
      <c r="E339" s="8">
        <f>IF('Rail Expenses'!$C261=0,0,'Rail Expenses'!$M261/'Rail Expenses'!$C261)</f>
        <v>0</v>
      </c>
      <c r="F339" s="8">
        <f>IF('Rail Expenses'!$C261=0,0,'Rail Expenses'!$M261/'Rail Expenses'!$C261)</f>
        <v>0</v>
      </c>
      <c r="G339" s="8">
        <f>IF('Rail Expenses'!$C261=0,0,'Rail Expenses'!$M261/'Rail Expenses'!$C261)</f>
        <v>0</v>
      </c>
      <c r="H339" s="8">
        <f>IF('Rail Expenses'!$C261=0,0,'Rail Expenses'!$M261/'Rail Expenses'!$C261)</f>
        <v>0</v>
      </c>
      <c r="I339" s="8">
        <f>IF('Rail Expenses'!$C261=0,0,'Rail Expenses'!$M261/'Rail Expenses'!$C261)</f>
        <v>0</v>
      </c>
    </row>
    <row r="340" spans="2:9" ht="9.75" outlineLevel="1">
      <c r="B340" s="22" t="str">
        <f>rail12</f>
        <v>Route 12</v>
      </c>
      <c r="C340" s="6" t="s">
        <v>271</v>
      </c>
      <c r="D340" s="8">
        <f>IF('Rail Expenses'!$C262=0,0,'Rail Expenses'!$M262/'Rail Expenses'!$C262)</f>
        <v>0</v>
      </c>
      <c r="E340" s="8">
        <f>IF('Rail Expenses'!$C262=0,0,'Rail Expenses'!$M262/'Rail Expenses'!$C262)</f>
        <v>0</v>
      </c>
      <c r="F340" s="8">
        <f>IF('Rail Expenses'!$C262=0,0,'Rail Expenses'!$M262/'Rail Expenses'!$C262)</f>
        <v>0</v>
      </c>
      <c r="G340" s="8">
        <f>IF('Rail Expenses'!$C262=0,0,'Rail Expenses'!$M262/'Rail Expenses'!$C262)</f>
        <v>0</v>
      </c>
      <c r="H340" s="8">
        <f>IF('Rail Expenses'!$C262=0,0,'Rail Expenses'!$M262/'Rail Expenses'!$C262)</f>
        <v>0</v>
      </c>
      <c r="I340" s="8">
        <f>IF('Rail Expenses'!$C262=0,0,'Rail Expenses'!$M262/'Rail Expenses'!$C262)</f>
        <v>0</v>
      </c>
    </row>
    <row r="341" spans="2:9" ht="9.75" outlineLevel="1">
      <c r="B341" s="22" t="str">
        <f>rail13</f>
        <v>Route 13</v>
      </c>
      <c r="C341" s="6" t="s">
        <v>271</v>
      </c>
      <c r="D341" s="8">
        <f>IF('Rail Expenses'!$C263=0,0,'Rail Expenses'!$M263/'Rail Expenses'!$C263)</f>
        <v>0</v>
      </c>
      <c r="E341" s="8">
        <f>IF('Rail Expenses'!$C263=0,0,'Rail Expenses'!$M263/'Rail Expenses'!$C263)</f>
        <v>0</v>
      </c>
      <c r="F341" s="8">
        <f>IF('Rail Expenses'!$C263=0,0,'Rail Expenses'!$M263/'Rail Expenses'!$C263)</f>
        <v>0</v>
      </c>
      <c r="G341" s="8">
        <f>IF('Rail Expenses'!$C263=0,0,'Rail Expenses'!$M263/'Rail Expenses'!$C263)</f>
        <v>0</v>
      </c>
      <c r="H341" s="8">
        <f>IF('Rail Expenses'!$C263=0,0,'Rail Expenses'!$M263/'Rail Expenses'!$C263)</f>
        <v>0</v>
      </c>
      <c r="I341" s="8">
        <f>IF('Rail Expenses'!$C263=0,0,'Rail Expenses'!$M263/'Rail Expenses'!$C263)</f>
        <v>0</v>
      </c>
    </row>
    <row r="342" spans="2:9" ht="9.75" outlineLevel="1">
      <c r="B342" s="22" t="str">
        <f>rail14</f>
        <v>Route 14</v>
      </c>
      <c r="C342" s="6" t="s">
        <v>271</v>
      </c>
      <c r="D342" s="8">
        <f>IF('Rail Expenses'!$C264=0,0,'Rail Expenses'!$M264/'Rail Expenses'!$C264)</f>
        <v>0</v>
      </c>
      <c r="E342" s="8">
        <f>IF('Rail Expenses'!$C264=0,0,'Rail Expenses'!$M264/'Rail Expenses'!$C264)</f>
        <v>0</v>
      </c>
      <c r="F342" s="8">
        <f>IF('Rail Expenses'!$C264=0,0,'Rail Expenses'!$M264/'Rail Expenses'!$C264)</f>
        <v>0</v>
      </c>
      <c r="G342" s="8">
        <f>IF('Rail Expenses'!$C264=0,0,'Rail Expenses'!$M264/'Rail Expenses'!$C264)</f>
        <v>0</v>
      </c>
      <c r="H342" s="8">
        <f>IF('Rail Expenses'!$C264=0,0,'Rail Expenses'!$M264/'Rail Expenses'!$C264)</f>
        <v>0</v>
      </c>
      <c r="I342" s="8">
        <f>IF('Rail Expenses'!$C264=0,0,'Rail Expenses'!$M264/'Rail Expenses'!$C264)</f>
        <v>0</v>
      </c>
    </row>
    <row r="343" spans="2:9" ht="9.75" outlineLevel="1">
      <c r="B343" s="22" t="str">
        <f>rail15</f>
        <v>Route 15</v>
      </c>
      <c r="C343" s="6" t="s">
        <v>271</v>
      </c>
      <c r="D343" s="8">
        <f>IF('Rail Expenses'!$C265=0,0,'Rail Expenses'!$M265/'Rail Expenses'!$C265)</f>
        <v>0</v>
      </c>
      <c r="E343" s="8">
        <f>IF('Rail Expenses'!$C265=0,0,'Rail Expenses'!$M265/'Rail Expenses'!$C265)</f>
        <v>0</v>
      </c>
      <c r="F343" s="8">
        <f>IF('Rail Expenses'!$C265=0,0,'Rail Expenses'!$M265/'Rail Expenses'!$C265)</f>
        <v>0</v>
      </c>
      <c r="G343" s="8">
        <f>IF('Rail Expenses'!$C265=0,0,'Rail Expenses'!$M265/'Rail Expenses'!$C265)</f>
        <v>0</v>
      </c>
      <c r="H343" s="8">
        <f>IF('Rail Expenses'!$C265=0,0,'Rail Expenses'!$M265/'Rail Expenses'!$C265)</f>
        <v>0</v>
      </c>
      <c r="I343" s="8">
        <f>IF('Rail Expenses'!$C265=0,0,'Rail Expenses'!$M265/'Rail Expenses'!$C265)</f>
        <v>0</v>
      </c>
    </row>
    <row r="344" spans="2:9" ht="9.75" outlineLevel="1">
      <c r="B344" s="22" t="str">
        <f>rail16</f>
        <v>Route 16</v>
      </c>
      <c r="C344" s="6" t="s">
        <v>271</v>
      </c>
      <c r="D344" s="8">
        <f>IF('Rail Expenses'!$C266=0,0,'Rail Expenses'!$M266/'Rail Expenses'!$C266)</f>
        <v>0</v>
      </c>
      <c r="E344" s="8">
        <f>IF('Rail Expenses'!$C266=0,0,'Rail Expenses'!$M266/'Rail Expenses'!$C266)</f>
        <v>0</v>
      </c>
      <c r="F344" s="8">
        <f>IF('Rail Expenses'!$C266=0,0,'Rail Expenses'!$M266/'Rail Expenses'!$C266)</f>
        <v>0</v>
      </c>
      <c r="G344" s="8">
        <f>IF('Rail Expenses'!$C266=0,0,'Rail Expenses'!$M266/'Rail Expenses'!$C266)</f>
        <v>0</v>
      </c>
      <c r="H344" s="8">
        <f>IF('Rail Expenses'!$C266=0,0,'Rail Expenses'!$M266/'Rail Expenses'!$C266)</f>
        <v>0</v>
      </c>
      <c r="I344" s="8">
        <f>IF('Rail Expenses'!$C266=0,0,'Rail Expenses'!$M266/'Rail Expenses'!$C266)</f>
        <v>0</v>
      </c>
    </row>
    <row r="345" spans="2:9" ht="9.75" outlineLevel="1">
      <c r="B345" s="22" t="str">
        <f>rail17</f>
        <v>Route 17</v>
      </c>
      <c r="C345" s="6" t="s">
        <v>271</v>
      </c>
      <c r="D345" s="8">
        <f>IF('Rail Expenses'!$C267=0,0,'Rail Expenses'!$M267/'Rail Expenses'!$C267)</f>
        <v>0</v>
      </c>
      <c r="E345" s="8">
        <f>IF('Rail Expenses'!$C267=0,0,'Rail Expenses'!$M267/'Rail Expenses'!$C267)</f>
        <v>0</v>
      </c>
      <c r="F345" s="8">
        <f>IF('Rail Expenses'!$C267=0,0,'Rail Expenses'!$M267/'Rail Expenses'!$C267)</f>
        <v>0</v>
      </c>
      <c r="G345" s="8">
        <f>IF('Rail Expenses'!$C267=0,0,'Rail Expenses'!$M267/'Rail Expenses'!$C267)</f>
        <v>0</v>
      </c>
      <c r="H345" s="8">
        <f>IF('Rail Expenses'!$C267=0,0,'Rail Expenses'!$M267/'Rail Expenses'!$C267)</f>
        <v>0</v>
      </c>
      <c r="I345" s="8">
        <f>IF('Rail Expenses'!$C267=0,0,'Rail Expenses'!$M267/'Rail Expenses'!$C267)</f>
        <v>0</v>
      </c>
    </row>
    <row r="346" spans="2:9" ht="9.75" outlineLevel="1">
      <c r="B346" s="22" t="str">
        <f>rail18</f>
        <v>Route 18</v>
      </c>
      <c r="C346" s="6" t="s">
        <v>271</v>
      </c>
      <c r="D346" s="8">
        <f>IF('Rail Expenses'!$C268=0,0,'Rail Expenses'!$M268/'Rail Expenses'!$C268)</f>
        <v>0</v>
      </c>
      <c r="E346" s="8">
        <f>IF('Rail Expenses'!$C268=0,0,'Rail Expenses'!$M268/'Rail Expenses'!$C268)</f>
        <v>0</v>
      </c>
      <c r="F346" s="8">
        <f>IF('Rail Expenses'!$C268=0,0,'Rail Expenses'!$M268/'Rail Expenses'!$C268)</f>
        <v>0</v>
      </c>
      <c r="G346" s="8">
        <f>IF('Rail Expenses'!$C268=0,0,'Rail Expenses'!$M268/'Rail Expenses'!$C268)</f>
        <v>0</v>
      </c>
      <c r="H346" s="8">
        <f>IF('Rail Expenses'!$C268=0,0,'Rail Expenses'!$M268/'Rail Expenses'!$C268)</f>
        <v>0</v>
      </c>
      <c r="I346" s="8">
        <f>IF('Rail Expenses'!$C268=0,0,'Rail Expenses'!$M268/'Rail Expenses'!$C268)</f>
        <v>0</v>
      </c>
    </row>
    <row r="347" spans="2:9" ht="9.75" outlineLevel="1">
      <c r="B347" s="22" t="str">
        <f>rail19</f>
        <v>Route 19</v>
      </c>
      <c r="C347" s="6" t="s">
        <v>271</v>
      </c>
      <c r="D347" s="8">
        <f>IF('Rail Expenses'!$C269=0,0,'Rail Expenses'!$M269/'Rail Expenses'!$C269)</f>
        <v>0</v>
      </c>
      <c r="E347" s="8">
        <f>IF('Rail Expenses'!$C269=0,0,'Rail Expenses'!$M269/'Rail Expenses'!$C269)</f>
        <v>0</v>
      </c>
      <c r="F347" s="8">
        <f>IF('Rail Expenses'!$C269=0,0,'Rail Expenses'!$M269/'Rail Expenses'!$C269)</f>
        <v>0</v>
      </c>
      <c r="G347" s="8">
        <f>IF('Rail Expenses'!$C269=0,0,'Rail Expenses'!$M269/'Rail Expenses'!$C269)</f>
        <v>0</v>
      </c>
      <c r="H347" s="8">
        <f>IF('Rail Expenses'!$C269=0,0,'Rail Expenses'!$M269/'Rail Expenses'!$C269)</f>
        <v>0</v>
      </c>
      <c r="I347" s="8">
        <f>IF('Rail Expenses'!$C269=0,0,'Rail Expenses'!$M269/'Rail Expenses'!$C269)</f>
        <v>0</v>
      </c>
    </row>
    <row r="348" spans="2:9" ht="9.75" outlineLevel="1">
      <c r="B348" s="22" t="str">
        <f>rail20</f>
        <v>Route 20</v>
      </c>
      <c r="C348" s="6" t="s">
        <v>271</v>
      </c>
      <c r="D348" s="8">
        <f>IF('Rail Expenses'!$C270=0,0,'Rail Expenses'!$M270/'Rail Expenses'!$C270)</f>
        <v>0</v>
      </c>
      <c r="E348" s="8">
        <f>IF('Rail Expenses'!$C270=0,0,'Rail Expenses'!$M270/'Rail Expenses'!$C270)</f>
        <v>0</v>
      </c>
      <c r="F348" s="8">
        <f>IF('Rail Expenses'!$C270=0,0,'Rail Expenses'!$M270/'Rail Expenses'!$C270)</f>
        <v>0</v>
      </c>
      <c r="G348" s="8">
        <f>IF('Rail Expenses'!$C270=0,0,'Rail Expenses'!$M270/'Rail Expenses'!$C270)</f>
        <v>0</v>
      </c>
      <c r="H348" s="8">
        <f>IF('Rail Expenses'!$C270=0,0,'Rail Expenses'!$M270/'Rail Expenses'!$C270)</f>
        <v>0</v>
      </c>
      <c r="I348" s="8">
        <f>IF('Rail Expenses'!$C270=0,0,'Rail Expenses'!$M270/'Rail Expenses'!$C270)</f>
        <v>0</v>
      </c>
    </row>
    <row r="349" ht="9.75" outlineLevel="1"/>
    <row r="350" spans="1:2" ht="9.75">
      <c r="A350" s="198" t="str">
        <f>HYPERLINK(CONCATENATE(workbookname,"$A$7"),"Top")</f>
        <v>Top</v>
      </c>
      <c r="B350" s="3" t="str">
        <f>Contents!B95</f>
        <v>Floor Price</v>
      </c>
    </row>
    <row r="351" ht="9.75">
      <c r="B351" s="171" t="str">
        <f>Contents!D95</f>
        <v>Floor price based on total costs and expected volumes</v>
      </c>
    </row>
    <row r="352" ht="9.75" outlineLevel="1"/>
    <row r="353" ht="9.75" outlineLevel="1">
      <c r="B353" s="2" t="s">
        <v>274</v>
      </c>
    </row>
    <row r="354" spans="2:9" ht="9.75" outlineLevel="1">
      <c r="B354" s="22" t="str">
        <f>rail1</f>
        <v>Cloudbreak to Port Dumper</v>
      </c>
      <c r="C354" s="6" t="s">
        <v>273</v>
      </c>
      <c r="D354" s="7">
        <f aca="true" t="shared" si="24" ref="D354:I354">IF(D329=0,0,D290/D329)</f>
        <v>5.075144176360463</v>
      </c>
      <c r="E354" s="7">
        <f t="shared" si="24"/>
        <v>5.107625218387747</v>
      </c>
      <c r="F354" s="7">
        <f t="shared" si="24"/>
        <v>5.145369702564816</v>
      </c>
      <c r="G354" s="7">
        <f t="shared" si="24"/>
        <v>5.184246521267199</v>
      </c>
      <c r="H354" s="7">
        <f t="shared" si="24"/>
        <v>5.2242896445306535</v>
      </c>
      <c r="I354" s="7">
        <f t="shared" si="24"/>
        <v>5.265534061492009</v>
      </c>
    </row>
    <row r="355" spans="2:9" ht="9.75" outlineLevel="1">
      <c r="B355" s="22" t="str">
        <f>rail2</f>
        <v>Route 2</v>
      </c>
      <c r="C355" s="6" t="s">
        <v>273</v>
      </c>
      <c r="D355" s="7">
        <f aca="true" t="shared" si="25" ref="D355:I364">IF(D330=0,0,D291/D330)</f>
        <v>0</v>
      </c>
      <c r="E355" s="7">
        <f t="shared" si="25"/>
        <v>0</v>
      </c>
      <c r="F355" s="7">
        <f t="shared" si="25"/>
        <v>0</v>
      </c>
      <c r="G355" s="7">
        <f t="shared" si="25"/>
        <v>0</v>
      </c>
      <c r="H355" s="7">
        <f t="shared" si="25"/>
        <v>0</v>
      </c>
      <c r="I355" s="7">
        <f t="shared" si="25"/>
        <v>0</v>
      </c>
    </row>
    <row r="356" spans="2:9" ht="9.75" outlineLevel="1">
      <c r="B356" s="22" t="str">
        <f>rail3</f>
        <v>Route 3</v>
      </c>
      <c r="C356" s="6" t="s">
        <v>273</v>
      </c>
      <c r="D356" s="7">
        <f t="shared" si="25"/>
        <v>0</v>
      </c>
      <c r="E356" s="7">
        <f t="shared" si="25"/>
        <v>0</v>
      </c>
      <c r="F356" s="7">
        <f t="shared" si="25"/>
        <v>0</v>
      </c>
      <c r="G356" s="7">
        <f t="shared" si="25"/>
        <v>0</v>
      </c>
      <c r="H356" s="7">
        <f t="shared" si="25"/>
        <v>0</v>
      </c>
      <c r="I356" s="7">
        <f t="shared" si="25"/>
        <v>0</v>
      </c>
    </row>
    <row r="357" spans="2:9" ht="9.75" outlineLevel="1">
      <c r="B357" s="22" t="str">
        <f>rail4</f>
        <v>Route 4</v>
      </c>
      <c r="C357" s="6" t="s">
        <v>273</v>
      </c>
      <c r="D357" s="7">
        <f t="shared" si="25"/>
        <v>0</v>
      </c>
      <c r="E357" s="7">
        <f t="shared" si="25"/>
        <v>0</v>
      </c>
      <c r="F357" s="7">
        <f t="shared" si="25"/>
        <v>0</v>
      </c>
      <c r="G357" s="7">
        <f t="shared" si="25"/>
        <v>0</v>
      </c>
      <c r="H357" s="7">
        <f t="shared" si="25"/>
        <v>0</v>
      </c>
      <c r="I357" s="7">
        <f t="shared" si="25"/>
        <v>0</v>
      </c>
    </row>
    <row r="358" spans="2:9" ht="9.75" outlineLevel="1">
      <c r="B358" s="22" t="str">
        <f>rail5</f>
        <v>Route 5</v>
      </c>
      <c r="C358" s="6" t="s">
        <v>273</v>
      </c>
      <c r="D358" s="7">
        <f t="shared" si="25"/>
        <v>0</v>
      </c>
      <c r="E358" s="7">
        <f t="shared" si="25"/>
        <v>0</v>
      </c>
      <c r="F358" s="7">
        <f t="shared" si="25"/>
        <v>0</v>
      </c>
      <c r="G358" s="7">
        <f t="shared" si="25"/>
        <v>0</v>
      </c>
      <c r="H358" s="7">
        <f t="shared" si="25"/>
        <v>0</v>
      </c>
      <c r="I358" s="7">
        <f t="shared" si="25"/>
        <v>0</v>
      </c>
    </row>
    <row r="359" spans="2:9" ht="9.75" outlineLevel="1">
      <c r="B359" s="22" t="str">
        <f>rail6</f>
        <v>Route 6</v>
      </c>
      <c r="C359" s="6" t="s">
        <v>273</v>
      </c>
      <c r="D359" s="7">
        <f t="shared" si="25"/>
        <v>0</v>
      </c>
      <c r="E359" s="7">
        <f t="shared" si="25"/>
        <v>0</v>
      </c>
      <c r="F359" s="7">
        <f t="shared" si="25"/>
        <v>0</v>
      </c>
      <c r="G359" s="7">
        <f t="shared" si="25"/>
        <v>0</v>
      </c>
      <c r="H359" s="7">
        <f t="shared" si="25"/>
        <v>0</v>
      </c>
      <c r="I359" s="7">
        <f t="shared" si="25"/>
        <v>0</v>
      </c>
    </row>
    <row r="360" spans="2:9" ht="9.75" outlineLevel="1">
      <c r="B360" s="22" t="str">
        <f>rail7</f>
        <v>Route 7</v>
      </c>
      <c r="C360" s="6" t="s">
        <v>273</v>
      </c>
      <c r="D360" s="7">
        <f t="shared" si="25"/>
        <v>0</v>
      </c>
      <c r="E360" s="7">
        <f t="shared" si="25"/>
        <v>0</v>
      </c>
      <c r="F360" s="7">
        <f t="shared" si="25"/>
        <v>0</v>
      </c>
      <c r="G360" s="7">
        <f t="shared" si="25"/>
        <v>0</v>
      </c>
      <c r="H360" s="7">
        <f t="shared" si="25"/>
        <v>0</v>
      </c>
      <c r="I360" s="7">
        <f t="shared" si="25"/>
        <v>0</v>
      </c>
    </row>
    <row r="361" spans="2:9" ht="9.75" outlineLevel="1">
      <c r="B361" s="22" t="str">
        <f>rail8</f>
        <v>Route 8</v>
      </c>
      <c r="C361" s="6" t="s">
        <v>273</v>
      </c>
      <c r="D361" s="7">
        <f t="shared" si="25"/>
        <v>0</v>
      </c>
      <c r="E361" s="7">
        <f t="shared" si="25"/>
        <v>0</v>
      </c>
      <c r="F361" s="7">
        <f t="shared" si="25"/>
        <v>0</v>
      </c>
      <c r="G361" s="7">
        <f t="shared" si="25"/>
        <v>0</v>
      </c>
      <c r="H361" s="7">
        <f t="shared" si="25"/>
        <v>0</v>
      </c>
      <c r="I361" s="7">
        <f t="shared" si="25"/>
        <v>0</v>
      </c>
    </row>
    <row r="362" spans="2:9" ht="9.75" outlineLevel="1">
      <c r="B362" s="22" t="str">
        <f>rail9</f>
        <v>Route 9</v>
      </c>
      <c r="C362" s="6" t="s">
        <v>273</v>
      </c>
      <c r="D362" s="7">
        <f t="shared" si="25"/>
        <v>0</v>
      </c>
      <c r="E362" s="7">
        <f t="shared" si="25"/>
        <v>0</v>
      </c>
      <c r="F362" s="7">
        <f t="shared" si="25"/>
        <v>0</v>
      </c>
      <c r="G362" s="7">
        <f t="shared" si="25"/>
        <v>0</v>
      </c>
      <c r="H362" s="7">
        <f t="shared" si="25"/>
        <v>0</v>
      </c>
      <c r="I362" s="7">
        <f t="shared" si="25"/>
        <v>0</v>
      </c>
    </row>
    <row r="363" spans="2:9" ht="9.75" outlineLevel="1">
      <c r="B363" s="22" t="str">
        <f>rail10</f>
        <v>Route 10</v>
      </c>
      <c r="C363" s="6" t="s">
        <v>273</v>
      </c>
      <c r="D363" s="7">
        <f t="shared" si="25"/>
        <v>0</v>
      </c>
      <c r="E363" s="7">
        <f t="shared" si="25"/>
        <v>0</v>
      </c>
      <c r="F363" s="7">
        <f t="shared" si="25"/>
        <v>0</v>
      </c>
      <c r="G363" s="7">
        <f t="shared" si="25"/>
        <v>0</v>
      </c>
      <c r="H363" s="7">
        <f t="shared" si="25"/>
        <v>0</v>
      </c>
      <c r="I363" s="7">
        <f t="shared" si="25"/>
        <v>0</v>
      </c>
    </row>
    <row r="364" spans="2:9" ht="9.75" outlineLevel="1">
      <c r="B364" s="22" t="str">
        <f>rail11</f>
        <v>Route 11</v>
      </c>
      <c r="C364" s="6" t="s">
        <v>273</v>
      </c>
      <c r="D364" s="7">
        <f t="shared" si="25"/>
        <v>0</v>
      </c>
      <c r="E364" s="7">
        <f t="shared" si="25"/>
        <v>0</v>
      </c>
      <c r="F364" s="7">
        <f t="shared" si="25"/>
        <v>0</v>
      </c>
      <c r="G364" s="7">
        <f t="shared" si="25"/>
        <v>0</v>
      </c>
      <c r="H364" s="7">
        <f t="shared" si="25"/>
        <v>0</v>
      </c>
      <c r="I364" s="7">
        <f t="shared" si="25"/>
        <v>0</v>
      </c>
    </row>
    <row r="365" spans="2:9" ht="9.75" outlineLevel="1">
      <c r="B365" s="22" t="str">
        <f>rail12</f>
        <v>Route 12</v>
      </c>
      <c r="C365" s="6" t="s">
        <v>273</v>
      </c>
      <c r="D365" s="7">
        <f aca="true" t="shared" si="26" ref="D365:I373">IF(D340=0,0,D301/D340)</f>
        <v>0</v>
      </c>
      <c r="E365" s="7">
        <f t="shared" si="26"/>
        <v>0</v>
      </c>
      <c r="F365" s="7">
        <f t="shared" si="26"/>
        <v>0</v>
      </c>
      <c r="G365" s="7">
        <f t="shared" si="26"/>
        <v>0</v>
      </c>
      <c r="H365" s="7">
        <f t="shared" si="26"/>
        <v>0</v>
      </c>
      <c r="I365" s="7">
        <f t="shared" si="26"/>
        <v>0</v>
      </c>
    </row>
    <row r="366" spans="2:9" ht="9.75" outlineLevel="1">
      <c r="B366" s="22" t="str">
        <f>rail13</f>
        <v>Route 13</v>
      </c>
      <c r="C366" s="6" t="s">
        <v>273</v>
      </c>
      <c r="D366" s="7">
        <f t="shared" si="26"/>
        <v>0</v>
      </c>
      <c r="E366" s="7">
        <f t="shared" si="26"/>
        <v>0</v>
      </c>
      <c r="F366" s="7">
        <f t="shared" si="26"/>
        <v>0</v>
      </c>
      <c r="G366" s="7">
        <f t="shared" si="26"/>
        <v>0</v>
      </c>
      <c r="H366" s="7">
        <f t="shared" si="26"/>
        <v>0</v>
      </c>
      <c r="I366" s="7">
        <f t="shared" si="26"/>
        <v>0</v>
      </c>
    </row>
    <row r="367" spans="2:9" ht="9.75" outlineLevel="1">
      <c r="B367" s="22" t="str">
        <f>rail14</f>
        <v>Route 14</v>
      </c>
      <c r="C367" s="6" t="s">
        <v>273</v>
      </c>
      <c r="D367" s="7">
        <f t="shared" si="26"/>
        <v>0</v>
      </c>
      <c r="E367" s="7">
        <f t="shared" si="26"/>
        <v>0</v>
      </c>
      <c r="F367" s="7">
        <f t="shared" si="26"/>
        <v>0</v>
      </c>
      <c r="G367" s="7">
        <f t="shared" si="26"/>
        <v>0</v>
      </c>
      <c r="H367" s="7">
        <f t="shared" si="26"/>
        <v>0</v>
      </c>
      <c r="I367" s="7">
        <f t="shared" si="26"/>
        <v>0</v>
      </c>
    </row>
    <row r="368" spans="2:9" ht="9.75" outlineLevel="1">
      <c r="B368" s="22" t="str">
        <f>rail15</f>
        <v>Route 15</v>
      </c>
      <c r="C368" s="6" t="s">
        <v>273</v>
      </c>
      <c r="D368" s="7">
        <f t="shared" si="26"/>
        <v>0</v>
      </c>
      <c r="E368" s="7">
        <f t="shared" si="26"/>
        <v>0</v>
      </c>
      <c r="F368" s="7">
        <f t="shared" si="26"/>
        <v>0</v>
      </c>
      <c r="G368" s="7">
        <f t="shared" si="26"/>
        <v>0</v>
      </c>
      <c r="H368" s="7">
        <f t="shared" si="26"/>
        <v>0</v>
      </c>
      <c r="I368" s="7">
        <f t="shared" si="26"/>
        <v>0</v>
      </c>
    </row>
    <row r="369" spans="2:9" ht="9.75" outlineLevel="1">
      <c r="B369" s="22" t="str">
        <f>rail16</f>
        <v>Route 16</v>
      </c>
      <c r="C369" s="6" t="s">
        <v>273</v>
      </c>
      <c r="D369" s="7">
        <f t="shared" si="26"/>
        <v>0</v>
      </c>
      <c r="E369" s="7">
        <f t="shared" si="26"/>
        <v>0</v>
      </c>
      <c r="F369" s="7">
        <f t="shared" si="26"/>
        <v>0</v>
      </c>
      <c r="G369" s="7">
        <f t="shared" si="26"/>
        <v>0</v>
      </c>
      <c r="H369" s="7">
        <f t="shared" si="26"/>
        <v>0</v>
      </c>
      <c r="I369" s="7">
        <f t="shared" si="26"/>
        <v>0</v>
      </c>
    </row>
    <row r="370" spans="2:9" ht="9.75" outlineLevel="1">
      <c r="B370" s="22" t="str">
        <f>rail17</f>
        <v>Route 17</v>
      </c>
      <c r="C370" s="6" t="s">
        <v>273</v>
      </c>
      <c r="D370" s="7">
        <f t="shared" si="26"/>
        <v>0</v>
      </c>
      <c r="E370" s="7">
        <f t="shared" si="26"/>
        <v>0</v>
      </c>
      <c r="F370" s="7">
        <f t="shared" si="26"/>
        <v>0</v>
      </c>
      <c r="G370" s="7">
        <f t="shared" si="26"/>
        <v>0</v>
      </c>
      <c r="H370" s="7">
        <f t="shared" si="26"/>
        <v>0</v>
      </c>
      <c r="I370" s="7">
        <f t="shared" si="26"/>
        <v>0</v>
      </c>
    </row>
    <row r="371" spans="2:9" ht="9.75" outlineLevel="1">
      <c r="B371" s="22" t="str">
        <f>rail18</f>
        <v>Route 18</v>
      </c>
      <c r="C371" s="6" t="s">
        <v>273</v>
      </c>
      <c r="D371" s="7">
        <f t="shared" si="26"/>
        <v>0</v>
      </c>
      <c r="E371" s="7">
        <f t="shared" si="26"/>
        <v>0</v>
      </c>
      <c r="F371" s="7">
        <f t="shared" si="26"/>
        <v>0</v>
      </c>
      <c r="G371" s="7">
        <f t="shared" si="26"/>
        <v>0</v>
      </c>
      <c r="H371" s="7">
        <f t="shared" si="26"/>
        <v>0</v>
      </c>
      <c r="I371" s="7">
        <f t="shared" si="26"/>
        <v>0</v>
      </c>
    </row>
    <row r="372" spans="2:9" ht="9.75" outlineLevel="1">
      <c r="B372" s="22" t="str">
        <f>rail19</f>
        <v>Route 19</v>
      </c>
      <c r="C372" s="6" t="s">
        <v>273</v>
      </c>
      <c r="D372" s="7">
        <f t="shared" si="26"/>
        <v>0</v>
      </c>
      <c r="E372" s="7">
        <f t="shared" si="26"/>
        <v>0</v>
      </c>
      <c r="F372" s="7">
        <f t="shared" si="26"/>
        <v>0</v>
      </c>
      <c r="G372" s="7">
        <f t="shared" si="26"/>
        <v>0</v>
      </c>
      <c r="H372" s="7">
        <f t="shared" si="26"/>
        <v>0</v>
      </c>
      <c r="I372" s="7">
        <f t="shared" si="26"/>
        <v>0</v>
      </c>
    </row>
    <row r="373" spans="2:9" ht="9.75" outlineLevel="1">
      <c r="B373" s="22" t="str">
        <f>rail20</f>
        <v>Route 20</v>
      </c>
      <c r="C373" s="6" t="s">
        <v>273</v>
      </c>
      <c r="D373" s="7">
        <f t="shared" si="26"/>
        <v>0</v>
      </c>
      <c r="E373" s="7">
        <f t="shared" si="26"/>
        <v>0</v>
      </c>
      <c r="F373" s="7">
        <f t="shared" si="26"/>
        <v>0</v>
      </c>
      <c r="G373" s="7">
        <f t="shared" si="26"/>
        <v>0</v>
      </c>
      <c r="H373" s="7">
        <f t="shared" si="26"/>
        <v>0</v>
      </c>
      <c r="I373" s="7">
        <f t="shared" si="26"/>
        <v>0</v>
      </c>
    </row>
    <row r="374" spans="2:9" ht="9.75" outlineLevel="1">
      <c r="B374" s="2" t="s">
        <v>275</v>
      </c>
      <c r="C374" s="6" t="s">
        <v>273</v>
      </c>
      <c r="D374" s="172">
        <f aca="true" t="shared" si="27" ref="D374:I374">SUM(D354:D373)</f>
        <v>5.075144176360463</v>
      </c>
      <c r="E374" s="172">
        <f t="shared" si="27"/>
        <v>5.107625218387747</v>
      </c>
      <c r="F374" s="172">
        <f t="shared" si="27"/>
        <v>5.145369702564816</v>
      </c>
      <c r="G374" s="172">
        <f t="shared" si="27"/>
        <v>5.184246521267199</v>
      </c>
      <c r="H374" s="172">
        <f t="shared" si="27"/>
        <v>5.2242896445306535</v>
      </c>
      <c r="I374" s="172">
        <f t="shared" si="27"/>
        <v>5.265534061492009</v>
      </c>
    </row>
    <row r="376" spans="1:2" ht="12">
      <c r="A376" s="198" t="str">
        <f>HYPERLINK(CONCATENATE(workbookname,"$A$7"),"Top")</f>
        <v>Top</v>
      </c>
      <c r="B376" s="14" t="str">
        <f>Contents!B97</f>
        <v>Ceiling Costing</v>
      </c>
    </row>
    <row r="377" ht="9.75">
      <c r="B377" s="171" t="str">
        <f>Contents!D97</f>
        <v>This section contains the summary of components that make up ceiling costing from prior worksheets</v>
      </c>
    </row>
    <row r="378" spans="1:2" ht="9.75">
      <c r="A378" s="198" t="str">
        <f>HYPERLINK(CONCATENATE(workbookname,"$A$7"),"Top")</f>
        <v>Top</v>
      </c>
      <c r="B378" s="3" t="str">
        <f>Contents!B98</f>
        <v>Asset Annuities</v>
      </c>
    </row>
    <row r="379" ht="9.75">
      <c r="B379" s="171" t="str">
        <f>Contents!D98</f>
        <v>The different types of asset annuities allocated towards ceiling costing</v>
      </c>
    </row>
    <row r="380" ht="9.75" outlineLevel="1"/>
    <row r="381" ht="9.75" outlineLevel="1">
      <c r="B381" s="2" t="s">
        <v>239</v>
      </c>
    </row>
    <row r="382" spans="2:9" ht="9.75" outlineLevel="1">
      <c r="B382" s="22" t="str">
        <f>rail1</f>
        <v>Cloudbreak to Port Dumper</v>
      </c>
      <c r="C382" s="6" t="s">
        <v>85</v>
      </c>
      <c r="D382" s="8">
        <f>'Rail Asset Calcs'!$H10</f>
        <v>131054021.62574902</v>
      </c>
      <c r="E382" s="8">
        <f>'Rail Asset Calcs'!$H10</f>
        <v>131054021.62574902</v>
      </c>
      <c r="F382" s="8">
        <f>'Rail Asset Calcs'!$H10</f>
        <v>131054021.62574902</v>
      </c>
      <c r="G382" s="8">
        <f>'Rail Asset Calcs'!$H10</f>
        <v>131054021.62574902</v>
      </c>
      <c r="H382" s="8">
        <f>'Rail Asset Calcs'!$H10</f>
        <v>131054021.62574902</v>
      </c>
      <c r="I382" s="8">
        <f>'Rail Asset Calcs'!$H10</f>
        <v>131054021.62574902</v>
      </c>
    </row>
    <row r="383" spans="2:9" ht="9.75" outlineLevel="1">
      <c r="B383" s="22" t="str">
        <f>rail2</f>
        <v>Route 2</v>
      </c>
      <c r="C383" s="6" t="s">
        <v>85</v>
      </c>
      <c r="D383" s="8">
        <f>'Rail Asset Calcs'!$H11</f>
        <v>0</v>
      </c>
      <c r="E383" s="8">
        <f>'Rail Asset Calcs'!$H11</f>
        <v>0</v>
      </c>
      <c r="F383" s="8">
        <f>'Rail Asset Calcs'!$H11</f>
        <v>0</v>
      </c>
      <c r="G383" s="8">
        <f>'Rail Asset Calcs'!$H11</f>
        <v>0</v>
      </c>
      <c r="H383" s="8">
        <f>'Rail Asset Calcs'!$H11</f>
        <v>0</v>
      </c>
      <c r="I383" s="8">
        <f>'Rail Asset Calcs'!$H11</f>
        <v>0</v>
      </c>
    </row>
    <row r="384" spans="2:9" ht="9.75" outlineLevel="1">
      <c r="B384" s="22" t="str">
        <f>rail3</f>
        <v>Route 3</v>
      </c>
      <c r="C384" s="6" t="s">
        <v>85</v>
      </c>
      <c r="D384" s="8">
        <f>'Rail Asset Calcs'!$H12</f>
        <v>0</v>
      </c>
      <c r="E384" s="8">
        <f>'Rail Asset Calcs'!$H12</f>
        <v>0</v>
      </c>
      <c r="F384" s="8">
        <f>'Rail Asset Calcs'!$H12</f>
        <v>0</v>
      </c>
      <c r="G384" s="8">
        <f>'Rail Asset Calcs'!$H12</f>
        <v>0</v>
      </c>
      <c r="H384" s="8">
        <f>'Rail Asset Calcs'!$H12</f>
        <v>0</v>
      </c>
      <c r="I384" s="8">
        <f>'Rail Asset Calcs'!$H12</f>
        <v>0</v>
      </c>
    </row>
    <row r="385" spans="2:9" ht="9.75" outlineLevel="1">
      <c r="B385" s="22" t="str">
        <f>rail4</f>
        <v>Route 4</v>
      </c>
      <c r="C385" s="6" t="s">
        <v>85</v>
      </c>
      <c r="D385" s="8">
        <f>'Rail Asset Calcs'!$H13</f>
        <v>0</v>
      </c>
      <c r="E385" s="8">
        <f>'Rail Asset Calcs'!$H13</f>
        <v>0</v>
      </c>
      <c r="F385" s="8">
        <f>'Rail Asset Calcs'!$H13</f>
        <v>0</v>
      </c>
      <c r="G385" s="8">
        <f>'Rail Asset Calcs'!$H13</f>
        <v>0</v>
      </c>
      <c r="H385" s="8">
        <f>'Rail Asset Calcs'!$H13</f>
        <v>0</v>
      </c>
      <c r="I385" s="8">
        <f>'Rail Asset Calcs'!$H13</f>
        <v>0</v>
      </c>
    </row>
    <row r="386" spans="2:9" ht="9.75" outlineLevel="1">
      <c r="B386" s="22" t="str">
        <f>rail5</f>
        <v>Route 5</v>
      </c>
      <c r="C386" s="6" t="s">
        <v>85</v>
      </c>
      <c r="D386" s="8">
        <f>'Rail Asset Calcs'!$H14</f>
        <v>0</v>
      </c>
      <c r="E386" s="8">
        <f>'Rail Asset Calcs'!$H14</f>
        <v>0</v>
      </c>
      <c r="F386" s="8">
        <f>'Rail Asset Calcs'!$H14</f>
        <v>0</v>
      </c>
      <c r="G386" s="8">
        <f>'Rail Asset Calcs'!$H14</f>
        <v>0</v>
      </c>
      <c r="H386" s="8">
        <f>'Rail Asset Calcs'!$H14</f>
        <v>0</v>
      </c>
      <c r="I386" s="8">
        <f>'Rail Asset Calcs'!$H14</f>
        <v>0</v>
      </c>
    </row>
    <row r="387" spans="2:9" ht="9.75" outlineLevel="1">
      <c r="B387" s="22" t="str">
        <f>rail6</f>
        <v>Route 6</v>
      </c>
      <c r="C387" s="6" t="s">
        <v>85</v>
      </c>
      <c r="D387" s="8">
        <f>'Rail Asset Calcs'!$H15</f>
        <v>0</v>
      </c>
      <c r="E387" s="8">
        <f>'Rail Asset Calcs'!$H15</f>
        <v>0</v>
      </c>
      <c r="F387" s="8">
        <f>'Rail Asset Calcs'!$H15</f>
        <v>0</v>
      </c>
      <c r="G387" s="8">
        <f>'Rail Asset Calcs'!$H15</f>
        <v>0</v>
      </c>
      <c r="H387" s="8">
        <f>'Rail Asset Calcs'!$H15</f>
        <v>0</v>
      </c>
      <c r="I387" s="8">
        <f>'Rail Asset Calcs'!$H15</f>
        <v>0</v>
      </c>
    </row>
    <row r="388" spans="2:9" ht="9.75" outlineLevel="1">
      <c r="B388" s="22" t="str">
        <f>rail7</f>
        <v>Route 7</v>
      </c>
      <c r="C388" s="6" t="s">
        <v>85</v>
      </c>
      <c r="D388" s="8">
        <f>'Rail Asset Calcs'!$H16</f>
        <v>0</v>
      </c>
      <c r="E388" s="8">
        <f>'Rail Asset Calcs'!$H16</f>
        <v>0</v>
      </c>
      <c r="F388" s="8">
        <f>'Rail Asset Calcs'!$H16</f>
        <v>0</v>
      </c>
      <c r="G388" s="8">
        <f>'Rail Asset Calcs'!$H16</f>
        <v>0</v>
      </c>
      <c r="H388" s="8">
        <f>'Rail Asset Calcs'!$H16</f>
        <v>0</v>
      </c>
      <c r="I388" s="8">
        <f>'Rail Asset Calcs'!$H16</f>
        <v>0</v>
      </c>
    </row>
    <row r="389" spans="2:9" ht="9.75" outlineLevel="1">
      <c r="B389" s="22" t="str">
        <f>rail8</f>
        <v>Route 8</v>
      </c>
      <c r="C389" s="6" t="s">
        <v>85</v>
      </c>
      <c r="D389" s="8">
        <f>'Rail Asset Calcs'!$H17</f>
        <v>0</v>
      </c>
      <c r="E389" s="8">
        <f>'Rail Asset Calcs'!$H17</f>
        <v>0</v>
      </c>
      <c r="F389" s="8">
        <f>'Rail Asset Calcs'!$H17</f>
        <v>0</v>
      </c>
      <c r="G389" s="8">
        <f>'Rail Asset Calcs'!$H17</f>
        <v>0</v>
      </c>
      <c r="H389" s="8">
        <f>'Rail Asset Calcs'!$H17</f>
        <v>0</v>
      </c>
      <c r="I389" s="8">
        <f>'Rail Asset Calcs'!$H17</f>
        <v>0</v>
      </c>
    </row>
    <row r="390" spans="2:9" ht="9.75" outlineLevel="1">
      <c r="B390" s="22" t="str">
        <f>rail9</f>
        <v>Route 9</v>
      </c>
      <c r="C390" s="6" t="s">
        <v>85</v>
      </c>
      <c r="D390" s="8">
        <f>'Rail Asset Calcs'!$H18</f>
        <v>0</v>
      </c>
      <c r="E390" s="8">
        <f>'Rail Asset Calcs'!$H18</f>
        <v>0</v>
      </c>
      <c r="F390" s="8">
        <f>'Rail Asset Calcs'!$H18</f>
        <v>0</v>
      </c>
      <c r="G390" s="8">
        <f>'Rail Asset Calcs'!$H18</f>
        <v>0</v>
      </c>
      <c r="H390" s="8">
        <f>'Rail Asset Calcs'!$H18</f>
        <v>0</v>
      </c>
      <c r="I390" s="8">
        <f>'Rail Asset Calcs'!$H18</f>
        <v>0</v>
      </c>
    </row>
    <row r="391" spans="2:9" ht="9.75" outlineLevel="1">
      <c r="B391" s="22" t="str">
        <f>rail10</f>
        <v>Route 10</v>
      </c>
      <c r="C391" s="6" t="s">
        <v>85</v>
      </c>
      <c r="D391" s="8">
        <f>'Rail Asset Calcs'!$H19</f>
        <v>0</v>
      </c>
      <c r="E391" s="8">
        <f>'Rail Asset Calcs'!$H19</f>
        <v>0</v>
      </c>
      <c r="F391" s="8">
        <f>'Rail Asset Calcs'!$H19</f>
        <v>0</v>
      </c>
      <c r="G391" s="8">
        <f>'Rail Asset Calcs'!$H19</f>
        <v>0</v>
      </c>
      <c r="H391" s="8">
        <f>'Rail Asset Calcs'!$H19</f>
        <v>0</v>
      </c>
      <c r="I391" s="8">
        <f>'Rail Asset Calcs'!$H19</f>
        <v>0</v>
      </c>
    </row>
    <row r="392" spans="2:9" ht="9.75" outlineLevel="1">
      <c r="B392" s="22" t="str">
        <f>rail11</f>
        <v>Route 11</v>
      </c>
      <c r="C392" s="6" t="s">
        <v>85</v>
      </c>
      <c r="D392" s="8">
        <f>'Rail Asset Calcs'!$H20</f>
        <v>0</v>
      </c>
      <c r="E392" s="8">
        <f>'Rail Asset Calcs'!$H20</f>
        <v>0</v>
      </c>
      <c r="F392" s="8">
        <f>'Rail Asset Calcs'!$H20</f>
        <v>0</v>
      </c>
      <c r="G392" s="8">
        <f>'Rail Asset Calcs'!$H20</f>
        <v>0</v>
      </c>
      <c r="H392" s="8">
        <f>'Rail Asset Calcs'!$H20</f>
        <v>0</v>
      </c>
      <c r="I392" s="8">
        <f>'Rail Asset Calcs'!$H20</f>
        <v>0</v>
      </c>
    </row>
    <row r="393" spans="2:9" ht="9.75" outlineLevel="1">
      <c r="B393" s="22" t="str">
        <f>rail12</f>
        <v>Route 12</v>
      </c>
      <c r="C393" s="6" t="s">
        <v>85</v>
      </c>
      <c r="D393" s="8">
        <f>'Rail Asset Calcs'!$H21</f>
        <v>0</v>
      </c>
      <c r="E393" s="8">
        <f>'Rail Asset Calcs'!$H21</f>
        <v>0</v>
      </c>
      <c r="F393" s="8">
        <f>'Rail Asset Calcs'!$H21</f>
        <v>0</v>
      </c>
      <c r="G393" s="8">
        <f>'Rail Asset Calcs'!$H21</f>
        <v>0</v>
      </c>
      <c r="H393" s="8">
        <f>'Rail Asset Calcs'!$H21</f>
        <v>0</v>
      </c>
      <c r="I393" s="8">
        <f>'Rail Asset Calcs'!$H21</f>
        <v>0</v>
      </c>
    </row>
    <row r="394" spans="2:9" ht="9.75" outlineLevel="1">
      <c r="B394" s="22" t="str">
        <f>rail13</f>
        <v>Route 13</v>
      </c>
      <c r="C394" s="6" t="s">
        <v>85</v>
      </c>
      <c r="D394" s="8">
        <f>'Rail Asset Calcs'!$H22</f>
        <v>0</v>
      </c>
      <c r="E394" s="8">
        <f>'Rail Asset Calcs'!$H22</f>
        <v>0</v>
      </c>
      <c r="F394" s="8">
        <f>'Rail Asset Calcs'!$H22</f>
        <v>0</v>
      </c>
      <c r="G394" s="8">
        <f>'Rail Asset Calcs'!$H22</f>
        <v>0</v>
      </c>
      <c r="H394" s="8">
        <f>'Rail Asset Calcs'!$H22</f>
        <v>0</v>
      </c>
      <c r="I394" s="8">
        <f>'Rail Asset Calcs'!$H22</f>
        <v>0</v>
      </c>
    </row>
    <row r="395" spans="2:9" ht="9.75" outlineLevel="1">
      <c r="B395" s="22" t="str">
        <f>rail14</f>
        <v>Route 14</v>
      </c>
      <c r="C395" s="6" t="s">
        <v>85</v>
      </c>
      <c r="D395" s="8">
        <f>'Rail Asset Calcs'!$H23</f>
        <v>0</v>
      </c>
      <c r="E395" s="8">
        <f>'Rail Asset Calcs'!$H23</f>
        <v>0</v>
      </c>
      <c r="F395" s="8">
        <f>'Rail Asset Calcs'!$H23</f>
        <v>0</v>
      </c>
      <c r="G395" s="8">
        <f>'Rail Asset Calcs'!$H23</f>
        <v>0</v>
      </c>
      <c r="H395" s="8">
        <f>'Rail Asset Calcs'!$H23</f>
        <v>0</v>
      </c>
      <c r="I395" s="8">
        <f>'Rail Asset Calcs'!$H23</f>
        <v>0</v>
      </c>
    </row>
    <row r="396" spans="2:9" ht="9.75" outlineLevel="1">
      <c r="B396" s="22" t="str">
        <f>rail15</f>
        <v>Route 15</v>
      </c>
      <c r="C396" s="6" t="s">
        <v>85</v>
      </c>
      <c r="D396" s="8">
        <f>'Rail Asset Calcs'!$H24</f>
        <v>0</v>
      </c>
      <c r="E396" s="8">
        <f>'Rail Asset Calcs'!$H24</f>
        <v>0</v>
      </c>
      <c r="F396" s="8">
        <f>'Rail Asset Calcs'!$H24</f>
        <v>0</v>
      </c>
      <c r="G396" s="8">
        <f>'Rail Asset Calcs'!$H24</f>
        <v>0</v>
      </c>
      <c r="H396" s="8">
        <f>'Rail Asset Calcs'!$H24</f>
        <v>0</v>
      </c>
      <c r="I396" s="8">
        <f>'Rail Asset Calcs'!$H24</f>
        <v>0</v>
      </c>
    </row>
    <row r="397" spans="2:9" ht="9.75" outlineLevel="1">
      <c r="B397" s="22" t="str">
        <f>rail16</f>
        <v>Route 16</v>
      </c>
      <c r="C397" s="6" t="s">
        <v>85</v>
      </c>
      <c r="D397" s="8">
        <f>'Rail Asset Calcs'!$H25</f>
        <v>0</v>
      </c>
      <c r="E397" s="8">
        <f>'Rail Asset Calcs'!$H25</f>
        <v>0</v>
      </c>
      <c r="F397" s="8">
        <f>'Rail Asset Calcs'!$H25</f>
        <v>0</v>
      </c>
      <c r="G397" s="8">
        <f>'Rail Asset Calcs'!$H25</f>
        <v>0</v>
      </c>
      <c r="H397" s="8">
        <f>'Rail Asset Calcs'!$H25</f>
        <v>0</v>
      </c>
      <c r="I397" s="8">
        <f>'Rail Asset Calcs'!$H25</f>
        <v>0</v>
      </c>
    </row>
    <row r="398" spans="2:9" ht="9.75" outlineLevel="1">
      <c r="B398" s="22" t="str">
        <f>rail17</f>
        <v>Route 17</v>
      </c>
      <c r="C398" s="6" t="s">
        <v>85</v>
      </c>
      <c r="D398" s="8">
        <f>'Rail Asset Calcs'!$H26</f>
        <v>0</v>
      </c>
      <c r="E398" s="8">
        <f>'Rail Asset Calcs'!$H26</f>
        <v>0</v>
      </c>
      <c r="F398" s="8">
        <f>'Rail Asset Calcs'!$H26</f>
        <v>0</v>
      </c>
      <c r="G398" s="8">
        <f>'Rail Asset Calcs'!$H26</f>
        <v>0</v>
      </c>
      <c r="H398" s="8">
        <f>'Rail Asset Calcs'!$H26</f>
        <v>0</v>
      </c>
      <c r="I398" s="8">
        <f>'Rail Asset Calcs'!$H26</f>
        <v>0</v>
      </c>
    </row>
    <row r="399" spans="2:9" ht="9.75" outlineLevel="1">
      <c r="B399" s="22" t="str">
        <f>rail18</f>
        <v>Route 18</v>
      </c>
      <c r="C399" s="6" t="s">
        <v>85</v>
      </c>
      <c r="D399" s="8">
        <f>'Rail Asset Calcs'!$H27</f>
        <v>0</v>
      </c>
      <c r="E399" s="8">
        <f>'Rail Asset Calcs'!$H27</f>
        <v>0</v>
      </c>
      <c r="F399" s="8">
        <f>'Rail Asset Calcs'!$H27</f>
        <v>0</v>
      </c>
      <c r="G399" s="8">
        <f>'Rail Asset Calcs'!$H27</f>
        <v>0</v>
      </c>
      <c r="H399" s="8">
        <f>'Rail Asset Calcs'!$H27</f>
        <v>0</v>
      </c>
      <c r="I399" s="8">
        <f>'Rail Asset Calcs'!$H27</f>
        <v>0</v>
      </c>
    </row>
    <row r="400" spans="2:9" ht="9.75" outlineLevel="1">
      <c r="B400" s="22" t="str">
        <f>rail19</f>
        <v>Route 19</v>
      </c>
      <c r="C400" s="6" t="s">
        <v>85</v>
      </c>
      <c r="D400" s="8">
        <f>'Rail Asset Calcs'!$H28</f>
        <v>0</v>
      </c>
      <c r="E400" s="8">
        <f>'Rail Asset Calcs'!$H28</f>
        <v>0</v>
      </c>
      <c r="F400" s="8">
        <f>'Rail Asset Calcs'!$H28</f>
        <v>0</v>
      </c>
      <c r="G400" s="8">
        <f>'Rail Asset Calcs'!$H28</f>
        <v>0</v>
      </c>
      <c r="H400" s="8">
        <f>'Rail Asset Calcs'!$H28</f>
        <v>0</v>
      </c>
      <c r="I400" s="8">
        <f>'Rail Asset Calcs'!$H28</f>
        <v>0</v>
      </c>
    </row>
    <row r="401" spans="2:9" ht="9.75" outlineLevel="1">
      <c r="B401" s="22" t="str">
        <f>rail20</f>
        <v>Route 20</v>
      </c>
      <c r="C401" s="6" t="s">
        <v>85</v>
      </c>
      <c r="D401" s="8">
        <f>'Rail Asset Calcs'!$H29</f>
        <v>0</v>
      </c>
      <c r="E401" s="8">
        <f>'Rail Asset Calcs'!$H29</f>
        <v>0</v>
      </c>
      <c r="F401" s="8">
        <f>'Rail Asset Calcs'!$H29</f>
        <v>0</v>
      </c>
      <c r="G401" s="8">
        <f>'Rail Asset Calcs'!$H29</f>
        <v>0</v>
      </c>
      <c r="H401" s="8">
        <f>'Rail Asset Calcs'!$H29</f>
        <v>0</v>
      </c>
      <c r="I401" s="8">
        <f>'Rail Asset Calcs'!$H29</f>
        <v>0</v>
      </c>
    </row>
    <row r="402" spans="2:9" ht="9.75" outlineLevel="1">
      <c r="B402" s="1" t="s">
        <v>237</v>
      </c>
      <c r="C402" s="6" t="s">
        <v>85</v>
      </c>
      <c r="D402" s="170">
        <f aca="true" t="shared" si="28" ref="D402:I402">SUM(D382:D401)</f>
        <v>131054021.62574902</v>
      </c>
      <c r="E402" s="170">
        <f t="shared" si="28"/>
        <v>131054021.62574902</v>
      </c>
      <c r="F402" s="170">
        <f t="shared" si="28"/>
        <v>131054021.62574902</v>
      </c>
      <c r="G402" s="170">
        <f t="shared" si="28"/>
        <v>131054021.62574902</v>
      </c>
      <c r="H402" s="170">
        <f t="shared" si="28"/>
        <v>131054021.62574902</v>
      </c>
      <c r="I402" s="170">
        <f t="shared" si="28"/>
        <v>131054021.62574902</v>
      </c>
    </row>
    <row r="403" ht="9.75" outlineLevel="1"/>
    <row r="404" ht="9.75" outlineLevel="1">
      <c r="B404" s="2" t="s">
        <v>238</v>
      </c>
    </row>
    <row r="405" spans="2:9" ht="9.75" outlineLevel="1">
      <c r="B405" s="22" t="str">
        <f>rail1</f>
        <v>Cloudbreak to Port Dumper</v>
      </c>
      <c r="C405" s="6" t="s">
        <v>85</v>
      </c>
      <c r="D405" s="8">
        <f>'Rail Asset Calcs'!$I10</f>
        <v>22925008.20700078</v>
      </c>
      <c r="E405" s="8">
        <f>'Rail Asset Calcs'!$I10</f>
        <v>22925008.20700078</v>
      </c>
      <c r="F405" s="8">
        <f>'Rail Asset Calcs'!$I10</f>
        <v>22925008.20700078</v>
      </c>
      <c r="G405" s="8">
        <f>'Rail Asset Calcs'!$I10</f>
        <v>22925008.20700078</v>
      </c>
      <c r="H405" s="8">
        <f>'Rail Asset Calcs'!$I10</f>
        <v>22925008.20700078</v>
      </c>
      <c r="I405" s="8">
        <f>'Rail Asset Calcs'!$I10</f>
        <v>22925008.20700078</v>
      </c>
    </row>
    <row r="406" spans="2:9" ht="9.75" outlineLevel="1">
      <c r="B406" s="22" t="str">
        <f>rail2</f>
        <v>Route 2</v>
      </c>
      <c r="C406" s="6" t="s">
        <v>85</v>
      </c>
      <c r="D406" s="8">
        <f>'Rail Asset Calcs'!$I11</f>
        <v>0</v>
      </c>
      <c r="E406" s="8">
        <f>'Rail Asset Calcs'!$I11</f>
        <v>0</v>
      </c>
      <c r="F406" s="8">
        <f>'Rail Asset Calcs'!$I11</f>
        <v>0</v>
      </c>
      <c r="G406" s="8">
        <f>'Rail Asset Calcs'!$I11</f>
        <v>0</v>
      </c>
      <c r="H406" s="8">
        <f>'Rail Asset Calcs'!$I11</f>
        <v>0</v>
      </c>
      <c r="I406" s="8">
        <f>'Rail Asset Calcs'!$I11</f>
        <v>0</v>
      </c>
    </row>
    <row r="407" spans="2:9" ht="9.75" outlineLevel="1">
      <c r="B407" s="22" t="str">
        <f>rail3</f>
        <v>Route 3</v>
      </c>
      <c r="C407" s="6" t="s">
        <v>85</v>
      </c>
      <c r="D407" s="8">
        <f>'Rail Asset Calcs'!$I12</f>
        <v>0</v>
      </c>
      <c r="E407" s="8">
        <f>'Rail Asset Calcs'!$I12</f>
        <v>0</v>
      </c>
      <c r="F407" s="8">
        <f>'Rail Asset Calcs'!$I12</f>
        <v>0</v>
      </c>
      <c r="G407" s="8">
        <f>'Rail Asset Calcs'!$I12</f>
        <v>0</v>
      </c>
      <c r="H407" s="8">
        <f>'Rail Asset Calcs'!$I12</f>
        <v>0</v>
      </c>
      <c r="I407" s="8">
        <f>'Rail Asset Calcs'!$I12</f>
        <v>0</v>
      </c>
    </row>
    <row r="408" spans="2:9" ht="9.75" outlineLevel="1">
      <c r="B408" s="22" t="str">
        <f>rail4</f>
        <v>Route 4</v>
      </c>
      <c r="C408" s="6" t="s">
        <v>85</v>
      </c>
      <c r="D408" s="8">
        <f>'Rail Asset Calcs'!$I13</f>
        <v>0</v>
      </c>
      <c r="E408" s="8">
        <f>'Rail Asset Calcs'!$I13</f>
        <v>0</v>
      </c>
      <c r="F408" s="8">
        <f>'Rail Asset Calcs'!$I13</f>
        <v>0</v>
      </c>
      <c r="G408" s="8">
        <f>'Rail Asset Calcs'!$I13</f>
        <v>0</v>
      </c>
      <c r="H408" s="8">
        <f>'Rail Asset Calcs'!$I13</f>
        <v>0</v>
      </c>
      <c r="I408" s="8">
        <f>'Rail Asset Calcs'!$I13</f>
        <v>0</v>
      </c>
    </row>
    <row r="409" spans="2:9" ht="9.75" outlineLevel="1">
      <c r="B409" s="22" t="str">
        <f>rail5</f>
        <v>Route 5</v>
      </c>
      <c r="C409" s="6" t="s">
        <v>85</v>
      </c>
      <c r="D409" s="8">
        <f>'Rail Asset Calcs'!$I14</f>
        <v>0</v>
      </c>
      <c r="E409" s="8">
        <f>'Rail Asset Calcs'!$I14</f>
        <v>0</v>
      </c>
      <c r="F409" s="8">
        <f>'Rail Asset Calcs'!$I14</f>
        <v>0</v>
      </c>
      <c r="G409" s="8">
        <f>'Rail Asset Calcs'!$I14</f>
        <v>0</v>
      </c>
      <c r="H409" s="8">
        <f>'Rail Asset Calcs'!$I14</f>
        <v>0</v>
      </c>
      <c r="I409" s="8">
        <f>'Rail Asset Calcs'!$I14</f>
        <v>0</v>
      </c>
    </row>
    <row r="410" spans="2:9" ht="9.75" outlineLevel="1">
      <c r="B410" s="22" t="str">
        <f>rail6</f>
        <v>Route 6</v>
      </c>
      <c r="C410" s="6" t="s">
        <v>85</v>
      </c>
      <c r="D410" s="8">
        <f>'Rail Asset Calcs'!$I15</f>
        <v>0</v>
      </c>
      <c r="E410" s="8">
        <f>'Rail Asset Calcs'!$I15</f>
        <v>0</v>
      </c>
      <c r="F410" s="8">
        <f>'Rail Asset Calcs'!$I15</f>
        <v>0</v>
      </c>
      <c r="G410" s="8">
        <f>'Rail Asset Calcs'!$I15</f>
        <v>0</v>
      </c>
      <c r="H410" s="8">
        <f>'Rail Asset Calcs'!$I15</f>
        <v>0</v>
      </c>
      <c r="I410" s="8">
        <f>'Rail Asset Calcs'!$I15</f>
        <v>0</v>
      </c>
    </row>
    <row r="411" spans="2:9" ht="9.75" outlineLevel="1">
      <c r="B411" s="22" t="str">
        <f>rail7</f>
        <v>Route 7</v>
      </c>
      <c r="C411" s="6" t="s">
        <v>85</v>
      </c>
      <c r="D411" s="8">
        <f>'Rail Asset Calcs'!$I16</f>
        <v>0</v>
      </c>
      <c r="E411" s="8">
        <f>'Rail Asset Calcs'!$I16</f>
        <v>0</v>
      </c>
      <c r="F411" s="8">
        <f>'Rail Asset Calcs'!$I16</f>
        <v>0</v>
      </c>
      <c r="G411" s="8">
        <f>'Rail Asset Calcs'!$I16</f>
        <v>0</v>
      </c>
      <c r="H411" s="8">
        <f>'Rail Asset Calcs'!$I16</f>
        <v>0</v>
      </c>
      <c r="I411" s="8">
        <f>'Rail Asset Calcs'!$I16</f>
        <v>0</v>
      </c>
    </row>
    <row r="412" spans="2:9" ht="9.75" outlineLevel="1">
      <c r="B412" s="22" t="str">
        <f>rail8</f>
        <v>Route 8</v>
      </c>
      <c r="C412" s="6" t="s">
        <v>85</v>
      </c>
      <c r="D412" s="8">
        <f>'Rail Asset Calcs'!$I17</f>
        <v>0</v>
      </c>
      <c r="E412" s="8">
        <f>'Rail Asset Calcs'!$I17</f>
        <v>0</v>
      </c>
      <c r="F412" s="8">
        <f>'Rail Asset Calcs'!$I17</f>
        <v>0</v>
      </c>
      <c r="G412" s="8">
        <f>'Rail Asset Calcs'!$I17</f>
        <v>0</v>
      </c>
      <c r="H412" s="8">
        <f>'Rail Asset Calcs'!$I17</f>
        <v>0</v>
      </c>
      <c r="I412" s="8">
        <f>'Rail Asset Calcs'!$I17</f>
        <v>0</v>
      </c>
    </row>
    <row r="413" spans="2:9" ht="9.75" outlineLevel="1">
      <c r="B413" s="22" t="str">
        <f>rail9</f>
        <v>Route 9</v>
      </c>
      <c r="C413" s="6" t="s">
        <v>85</v>
      </c>
      <c r="D413" s="8">
        <f>'Rail Asset Calcs'!$I18</f>
        <v>0</v>
      </c>
      <c r="E413" s="8">
        <f>'Rail Asset Calcs'!$I18</f>
        <v>0</v>
      </c>
      <c r="F413" s="8">
        <f>'Rail Asset Calcs'!$I18</f>
        <v>0</v>
      </c>
      <c r="G413" s="8">
        <f>'Rail Asset Calcs'!$I18</f>
        <v>0</v>
      </c>
      <c r="H413" s="8">
        <f>'Rail Asset Calcs'!$I18</f>
        <v>0</v>
      </c>
      <c r="I413" s="8">
        <f>'Rail Asset Calcs'!$I18</f>
        <v>0</v>
      </c>
    </row>
    <row r="414" spans="2:9" ht="9.75" outlineLevel="1">
      <c r="B414" s="22" t="str">
        <f>rail10</f>
        <v>Route 10</v>
      </c>
      <c r="C414" s="6" t="s">
        <v>85</v>
      </c>
      <c r="D414" s="8">
        <f>'Rail Asset Calcs'!$I19</f>
        <v>0</v>
      </c>
      <c r="E414" s="8">
        <f>'Rail Asset Calcs'!$I19</f>
        <v>0</v>
      </c>
      <c r="F414" s="8">
        <f>'Rail Asset Calcs'!$I19</f>
        <v>0</v>
      </c>
      <c r="G414" s="8">
        <f>'Rail Asset Calcs'!$I19</f>
        <v>0</v>
      </c>
      <c r="H414" s="8">
        <f>'Rail Asset Calcs'!$I19</f>
        <v>0</v>
      </c>
      <c r="I414" s="8">
        <f>'Rail Asset Calcs'!$I19</f>
        <v>0</v>
      </c>
    </row>
    <row r="415" spans="2:9" ht="9.75" outlineLevel="1">
      <c r="B415" s="22" t="str">
        <f>rail11</f>
        <v>Route 11</v>
      </c>
      <c r="C415" s="6" t="s">
        <v>85</v>
      </c>
      <c r="D415" s="8">
        <f>'Rail Asset Calcs'!$I20</f>
        <v>0</v>
      </c>
      <c r="E415" s="8">
        <f>'Rail Asset Calcs'!$I20</f>
        <v>0</v>
      </c>
      <c r="F415" s="8">
        <f>'Rail Asset Calcs'!$I20</f>
        <v>0</v>
      </c>
      <c r="G415" s="8">
        <f>'Rail Asset Calcs'!$I20</f>
        <v>0</v>
      </c>
      <c r="H415" s="8">
        <f>'Rail Asset Calcs'!$I20</f>
        <v>0</v>
      </c>
      <c r="I415" s="8">
        <f>'Rail Asset Calcs'!$I20</f>
        <v>0</v>
      </c>
    </row>
    <row r="416" spans="2:9" ht="9.75" outlineLevel="1">
      <c r="B416" s="22" t="str">
        <f>rail12</f>
        <v>Route 12</v>
      </c>
      <c r="C416" s="6" t="s">
        <v>85</v>
      </c>
      <c r="D416" s="8">
        <f>'Rail Asset Calcs'!$I21</f>
        <v>0</v>
      </c>
      <c r="E416" s="8">
        <f>'Rail Asset Calcs'!$I21</f>
        <v>0</v>
      </c>
      <c r="F416" s="8">
        <f>'Rail Asset Calcs'!$I21</f>
        <v>0</v>
      </c>
      <c r="G416" s="8">
        <f>'Rail Asset Calcs'!$I21</f>
        <v>0</v>
      </c>
      <c r="H416" s="8">
        <f>'Rail Asset Calcs'!$I21</f>
        <v>0</v>
      </c>
      <c r="I416" s="8">
        <f>'Rail Asset Calcs'!$I21</f>
        <v>0</v>
      </c>
    </row>
    <row r="417" spans="2:9" ht="9.75" outlineLevel="1">
      <c r="B417" s="22" t="str">
        <f>rail13</f>
        <v>Route 13</v>
      </c>
      <c r="C417" s="6" t="s">
        <v>85</v>
      </c>
      <c r="D417" s="8">
        <f>'Rail Asset Calcs'!$I22</f>
        <v>0</v>
      </c>
      <c r="E417" s="8">
        <f>'Rail Asset Calcs'!$I22</f>
        <v>0</v>
      </c>
      <c r="F417" s="8">
        <f>'Rail Asset Calcs'!$I22</f>
        <v>0</v>
      </c>
      <c r="G417" s="8">
        <f>'Rail Asset Calcs'!$I22</f>
        <v>0</v>
      </c>
      <c r="H417" s="8">
        <f>'Rail Asset Calcs'!$I22</f>
        <v>0</v>
      </c>
      <c r="I417" s="8">
        <f>'Rail Asset Calcs'!$I22</f>
        <v>0</v>
      </c>
    </row>
    <row r="418" spans="2:9" ht="9.75" outlineLevel="1">
      <c r="B418" s="22" t="str">
        <f>rail14</f>
        <v>Route 14</v>
      </c>
      <c r="C418" s="6" t="s">
        <v>85</v>
      </c>
      <c r="D418" s="8">
        <f>'Rail Asset Calcs'!$I23</f>
        <v>0</v>
      </c>
      <c r="E418" s="8">
        <f>'Rail Asset Calcs'!$I23</f>
        <v>0</v>
      </c>
      <c r="F418" s="8">
        <f>'Rail Asset Calcs'!$I23</f>
        <v>0</v>
      </c>
      <c r="G418" s="8">
        <f>'Rail Asset Calcs'!$I23</f>
        <v>0</v>
      </c>
      <c r="H418" s="8">
        <f>'Rail Asset Calcs'!$I23</f>
        <v>0</v>
      </c>
      <c r="I418" s="8">
        <f>'Rail Asset Calcs'!$I23</f>
        <v>0</v>
      </c>
    </row>
    <row r="419" spans="2:9" ht="9.75" outlineLevel="1">
      <c r="B419" s="22" t="str">
        <f>rail15</f>
        <v>Route 15</v>
      </c>
      <c r="C419" s="6" t="s">
        <v>85</v>
      </c>
      <c r="D419" s="8">
        <f>'Rail Asset Calcs'!$I24</f>
        <v>0</v>
      </c>
      <c r="E419" s="8">
        <f>'Rail Asset Calcs'!$I24</f>
        <v>0</v>
      </c>
      <c r="F419" s="8">
        <f>'Rail Asset Calcs'!$I24</f>
        <v>0</v>
      </c>
      <c r="G419" s="8">
        <f>'Rail Asset Calcs'!$I24</f>
        <v>0</v>
      </c>
      <c r="H419" s="8">
        <f>'Rail Asset Calcs'!$I24</f>
        <v>0</v>
      </c>
      <c r="I419" s="8">
        <f>'Rail Asset Calcs'!$I24</f>
        <v>0</v>
      </c>
    </row>
    <row r="420" spans="2:9" ht="9.75" outlineLevel="1">
      <c r="B420" s="22" t="str">
        <f>rail16</f>
        <v>Route 16</v>
      </c>
      <c r="C420" s="6" t="s">
        <v>85</v>
      </c>
      <c r="D420" s="8">
        <f>'Rail Asset Calcs'!$I25</f>
        <v>0</v>
      </c>
      <c r="E420" s="8">
        <f>'Rail Asset Calcs'!$I25</f>
        <v>0</v>
      </c>
      <c r="F420" s="8">
        <f>'Rail Asset Calcs'!$I25</f>
        <v>0</v>
      </c>
      <c r="G420" s="8">
        <f>'Rail Asset Calcs'!$I25</f>
        <v>0</v>
      </c>
      <c r="H420" s="8">
        <f>'Rail Asset Calcs'!$I25</f>
        <v>0</v>
      </c>
      <c r="I420" s="8">
        <f>'Rail Asset Calcs'!$I25</f>
        <v>0</v>
      </c>
    </row>
    <row r="421" spans="2:9" ht="9.75" outlineLevel="1">
      <c r="B421" s="22" t="str">
        <f>rail17</f>
        <v>Route 17</v>
      </c>
      <c r="C421" s="6" t="s">
        <v>85</v>
      </c>
      <c r="D421" s="8">
        <f>'Rail Asset Calcs'!$I26</f>
        <v>0</v>
      </c>
      <c r="E421" s="8">
        <f>'Rail Asset Calcs'!$I26</f>
        <v>0</v>
      </c>
      <c r="F421" s="8">
        <f>'Rail Asset Calcs'!$I26</f>
        <v>0</v>
      </c>
      <c r="G421" s="8">
        <f>'Rail Asset Calcs'!$I26</f>
        <v>0</v>
      </c>
      <c r="H421" s="8">
        <f>'Rail Asset Calcs'!$I26</f>
        <v>0</v>
      </c>
      <c r="I421" s="8">
        <f>'Rail Asset Calcs'!$I26</f>
        <v>0</v>
      </c>
    </row>
    <row r="422" spans="2:9" ht="9.75" outlineLevel="1">
      <c r="B422" s="22" t="str">
        <f>rail18</f>
        <v>Route 18</v>
      </c>
      <c r="C422" s="6" t="s">
        <v>85</v>
      </c>
      <c r="D422" s="8">
        <f>'Rail Asset Calcs'!$I27</f>
        <v>0</v>
      </c>
      <c r="E422" s="8">
        <f>'Rail Asset Calcs'!$I27</f>
        <v>0</v>
      </c>
      <c r="F422" s="8">
        <f>'Rail Asset Calcs'!$I27</f>
        <v>0</v>
      </c>
      <c r="G422" s="8">
        <f>'Rail Asset Calcs'!$I27</f>
        <v>0</v>
      </c>
      <c r="H422" s="8">
        <f>'Rail Asset Calcs'!$I27</f>
        <v>0</v>
      </c>
      <c r="I422" s="8">
        <f>'Rail Asset Calcs'!$I27</f>
        <v>0</v>
      </c>
    </row>
    <row r="423" spans="2:9" ht="9.75" outlineLevel="1">
      <c r="B423" s="22" t="str">
        <f>rail19</f>
        <v>Route 19</v>
      </c>
      <c r="C423" s="6" t="s">
        <v>85</v>
      </c>
      <c r="D423" s="8">
        <f>'Rail Asset Calcs'!$I28</f>
        <v>0</v>
      </c>
      <c r="E423" s="8">
        <f>'Rail Asset Calcs'!$I28</f>
        <v>0</v>
      </c>
      <c r="F423" s="8">
        <f>'Rail Asset Calcs'!$I28</f>
        <v>0</v>
      </c>
      <c r="G423" s="8">
        <f>'Rail Asset Calcs'!$I28</f>
        <v>0</v>
      </c>
      <c r="H423" s="8">
        <f>'Rail Asset Calcs'!$I28</f>
        <v>0</v>
      </c>
      <c r="I423" s="8">
        <f>'Rail Asset Calcs'!$I28</f>
        <v>0</v>
      </c>
    </row>
    <row r="424" spans="2:9" ht="9.75" outlineLevel="1">
      <c r="B424" s="22" t="str">
        <f>rail20</f>
        <v>Route 20</v>
      </c>
      <c r="C424" s="6" t="s">
        <v>85</v>
      </c>
      <c r="D424" s="8">
        <f>'Rail Asset Calcs'!$I29</f>
        <v>0</v>
      </c>
      <c r="E424" s="8">
        <f>'Rail Asset Calcs'!$I29</f>
        <v>0</v>
      </c>
      <c r="F424" s="8">
        <f>'Rail Asset Calcs'!$I29</f>
        <v>0</v>
      </c>
      <c r="G424" s="8">
        <f>'Rail Asset Calcs'!$I29</f>
        <v>0</v>
      </c>
      <c r="H424" s="8">
        <f>'Rail Asset Calcs'!$I29</f>
        <v>0</v>
      </c>
      <c r="I424" s="8">
        <f>'Rail Asset Calcs'!$I29</f>
        <v>0</v>
      </c>
    </row>
    <row r="425" spans="2:9" ht="9.75" outlineLevel="1">
      <c r="B425" s="1" t="s">
        <v>251</v>
      </c>
      <c r="C425" s="6" t="s">
        <v>85</v>
      </c>
      <c r="D425" s="170">
        <f aca="true" t="shared" si="29" ref="D425:I425">SUM(D405:D424)</f>
        <v>22925008.20700078</v>
      </c>
      <c r="E425" s="170">
        <f t="shared" si="29"/>
        <v>22925008.20700078</v>
      </c>
      <c r="F425" s="170">
        <f t="shared" si="29"/>
        <v>22925008.20700078</v>
      </c>
      <c r="G425" s="170">
        <f t="shared" si="29"/>
        <v>22925008.20700078</v>
      </c>
      <c r="H425" s="170">
        <f t="shared" si="29"/>
        <v>22925008.20700078</v>
      </c>
      <c r="I425" s="170">
        <f t="shared" si="29"/>
        <v>22925008.20700078</v>
      </c>
    </row>
    <row r="426" ht="9.75" outlineLevel="1"/>
    <row r="427" ht="9.75" outlineLevel="1">
      <c r="B427" s="2" t="s">
        <v>277</v>
      </c>
    </row>
    <row r="428" spans="2:9" ht="9.75" outlineLevel="1">
      <c r="B428" s="22" t="str">
        <f>rail1</f>
        <v>Cloudbreak to Port Dumper</v>
      </c>
      <c r="C428" s="6" t="s">
        <v>85</v>
      </c>
      <c r="D428" s="8">
        <f>'Rail Asset Calcs'!$G10</f>
        <v>11922390.603975799</v>
      </c>
      <c r="E428" s="8">
        <f>'Rail Asset Calcs'!$G10</f>
        <v>11922390.603975799</v>
      </c>
      <c r="F428" s="8">
        <f>'Rail Asset Calcs'!$G10</f>
        <v>11922390.603975799</v>
      </c>
      <c r="G428" s="8">
        <f>'Rail Asset Calcs'!$G10</f>
        <v>11922390.603975799</v>
      </c>
      <c r="H428" s="8">
        <f>'Rail Asset Calcs'!$G10</f>
        <v>11922390.603975799</v>
      </c>
      <c r="I428" s="8">
        <f>'Rail Asset Calcs'!$G10</f>
        <v>11922390.603975799</v>
      </c>
    </row>
    <row r="429" spans="2:9" ht="9.75" outlineLevel="1">
      <c r="B429" s="22" t="str">
        <f>rail2</f>
        <v>Route 2</v>
      </c>
      <c r="C429" s="6" t="s">
        <v>85</v>
      </c>
      <c r="D429" s="8">
        <f>'Rail Asset Calcs'!$G11</f>
        <v>0</v>
      </c>
      <c r="E429" s="8">
        <f>'Rail Asset Calcs'!$G11</f>
        <v>0</v>
      </c>
      <c r="F429" s="8">
        <f>'Rail Asset Calcs'!$G11</f>
        <v>0</v>
      </c>
      <c r="G429" s="8">
        <f>'Rail Asset Calcs'!$G11</f>
        <v>0</v>
      </c>
      <c r="H429" s="8">
        <f>'Rail Asset Calcs'!$G11</f>
        <v>0</v>
      </c>
      <c r="I429" s="8">
        <f>'Rail Asset Calcs'!$G11</f>
        <v>0</v>
      </c>
    </row>
    <row r="430" spans="2:9" ht="9.75" outlineLevel="1">
      <c r="B430" s="22" t="str">
        <f>rail3</f>
        <v>Route 3</v>
      </c>
      <c r="C430" s="6" t="s">
        <v>85</v>
      </c>
      <c r="D430" s="8">
        <f>'Rail Asset Calcs'!$G12</f>
        <v>0</v>
      </c>
      <c r="E430" s="8">
        <f>'Rail Asset Calcs'!$G12</f>
        <v>0</v>
      </c>
      <c r="F430" s="8">
        <f>'Rail Asset Calcs'!$G12</f>
        <v>0</v>
      </c>
      <c r="G430" s="8">
        <f>'Rail Asset Calcs'!$G12</f>
        <v>0</v>
      </c>
      <c r="H430" s="8">
        <f>'Rail Asset Calcs'!$G12</f>
        <v>0</v>
      </c>
      <c r="I430" s="8">
        <f>'Rail Asset Calcs'!$G12</f>
        <v>0</v>
      </c>
    </row>
    <row r="431" spans="2:9" ht="9.75" outlineLevel="1">
      <c r="B431" s="22" t="str">
        <f>rail4</f>
        <v>Route 4</v>
      </c>
      <c r="C431" s="6" t="s">
        <v>85</v>
      </c>
      <c r="D431" s="8">
        <f>'Rail Asset Calcs'!$G13</f>
        <v>0</v>
      </c>
      <c r="E431" s="8">
        <f>'Rail Asset Calcs'!$G13</f>
        <v>0</v>
      </c>
      <c r="F431" s="8">
        <f>'Rail Asset Calcs'!$G13</f>
        <v>0</v>
      </c>
      <c r="G431" s="8">
        <f>'Rail Asset Calcs'!$G13</f>
        <v>0</v>
      </c>
      <c r="H431" s="8">
        <f>'Rail Asset Calcs'!$G13</f>
        <v>0</v>
      </c>
      <c r="I431" s="8">
        <f>'Rail Asset Calcs'!$G13</f>
        <v>0</v>
      </c>
    </row>
    <row r="432" spans="2:9" ht="9.75" outlineLevel="1">
      <c r="B432" s="22" t="str">
        <f>rail5</f>
        <v>Route 5</v>
      </c>
      <c r="C432" s="6" t="s">
        <v>85</v>
      </c>
      <c r="D432" s="8">
        <f>'Rail Asset Calcs'!$G14</f>
        <v>0</v>
      </c>
      <c r="E432" s="8">
        <f>'Rail Asset Calcs'!$G14</f>
        <v>0</v>
      </c>
      <c r="F432" s="8">
        <f>'Rail Asset Calcs'!$G14</f>
        <v>0</v>
      </c>
      <c r="G432" s="8">
        <f>'Rail Asset Calcs'!$G14</f>
        <v>0</v>
      </c>
      <c r="H432" s="8">
        <f>'Rail Asset Calcs'!$G14</f>
        <v>0</v>
      </c>
      <c r="I432" s="8">
        <f>'Rail Asset Calcs'!$G14</f>
        <v>0</v>
      </c>
    </row>
    <row r="433" spans="2:9" ht="9.75" outlineLevel="1">
      <c r="B433" s="22" t="str">
        <f>rail6</f>
        <v>Route 6</v>
      </c>
      <c r="C433" s="6" t="s">
        <v>85</v>
      </c>
      <c r="D433" s="8">
        <f>'Rail Asset Calcs'!$G15</f>
        <v>0</v>
      </c>
      <c r="E433" s="8">
        <f>'Rail Asset Calcs'!$G15</f>
        <v>0</v>
      </c>
      <c r="F433" s="8">
        <f>'Rail Asset Calcs'!$G15</f>
        <v>0</v>
      </c>
      <c r="G433" s="8">
        <f>'Rail Asset Calcs'!$G15</f>
        <v>0</v>
      </c>
      <c r="H433" s="8">
        <f>'Rail Asset Calcs'!$G15</f>
        <v>0</v>
      </c>
      <c r="I433" s="8">
        <f>'Rail Asset Calcs'!$G15</f>
        <v>0</v>
      </c>
    </row>
    <row r="434" spans="2:9" ht="9.75" outlineLevel="1">
      <c r="B434" s="22" t="str">
        <f>rail7</f>
        <v>Route 7</v>
      </c>
      <c r="C434" s="6" t="s">
        <v>85</v>
      </c>
      <c r="D434" s="8">
        <f>'Rail Asset Calcs'!$G16</f>
        <v>0</v>
      </c>
      <c r="E434" s="8">
        <f>'Rail Asset Calcs'!$G16</f>
        <v>0</v>
      </c>
      <c r="F434" s="8">
        <f>'Rail Asset Calcs'!$G16</f>
        <v>0</v>
      </c>
      <c r="G434" s="8">
        <f>'Rail Asset Calcs'!$G16</f>
        <v>0</v>
      </c>
      <c r="H434" s="8">
        <f>'Rail Asset Calcs'!$G16</f>
        <v>0</v>
      </c>
      <c r="I434" s="8">
        <f>'Rail Asset Calcs'!$G16</f>
        <v>0</v>
      </c>
    </row>
    <row r="435" spans="2:9" ht="9.75" outlineLevel="1">
      <c r="B435" s="22" t="str">
        <f>rail8</f>
        <v>Route 8</v>
      </c>
      <c r="C435" s="6" t="s">
        <v>85</v>
      </c>
      <c r="D435" s="8">
        <f>'Rail Asset Calcs'!$G17</f>
        <v>0</v>
      </c>
      <c r="E435" s="8">
        <f>'Rail Asset Calcs'!$G17</f>
        <v>0</v>
      </c>
      <c r="F435" s="8">
        <f>'Rail Asset Calcs'!$G17</f>
        <v>0</v>
      </c>
      <c r="G435" s="8">
        <f>'Rail Asset Calcs'!$G17</f>
        <v>0</v>
      </c>
      <c r="H435" s="8">
        <f>'Rail Asset Calcs'!$G17</f>
        <v>0</v>
      </c>
      <c r="I435" s="8">
        <f>'Rail Asset Calcs'!$G17</f>
        <v>0</v>
      </c>
    </row>
    <row r="436" spans="2:9" ht="9.75" outlineLevel="1">
      <c r="B436" s="22" t="str">
        <f>rail9</f>
        <v>Route 9</v>
      </c>
      <c r="C436" s="6" t="s">
        <v>85</v>
      </c>
      <c r="D436" s="8">
        <f>'Rail Asset Calcs'!$G18</f>
        <v>0</v>
      </c>
      <c r="E436" s="8">
        <f>'Rail Asset Calcs'!$G18</f>
        <v>0</v>
      </c>
      <c r="F436" s="8">
        <f>'Rail Asset Calcs'!$G18</f>
        <v>0</v>
      </c>
      <c r="G436" s="8">
        <f>'Rail Asset Calcs'!$G18</f>
        <v>0</v>
      </c>
      <c r="H436" s="8">
        <f>'Rail Asset Calcs'!$G18</f>
        <v>0</v>
      </c>
      <c r="I436" s="8">
        <f>'Rail Asset Calcs'!$G18</f>
        <v>0</v>
      </c>
    </row>
    <row r="437" spans="2:9" ht="9.75" outlineLevel="1">
      <c r="B437" s="22" t="str">
        <f>rail10</f>
        <v>Route 10</v>
      </c>
      <c r="C437" s="6" t="s">
        <v>85</v>
      </c>
      <c r="D437" s="8">
        <f>'Rail Asset Calcs'!$G19</f>
        <v>0</v>
      </c>
      <c r="E437" s="8">
        <f>'Rail Asset Calcs'!$G19</f>
        <v>0</v>
      </c>
      <c r="F437" s="8">
        <f>'Rail Asset Calcs'!$G19</f>
        <v>0</v>
      </c>
      <c r="G437" s="8">
        <f>'Rail Asset Calcs'!$G19</f>
        <v>0</v>
      </c>
      <c r="H437" s="8">
        <f>'Rail Asset Calcs'!$G19</f>
        <v>0</v>
      </c>
      <c r="I437" s="8">
        <f>'Rail Asset Calcs'!$G19</f>
        <v>0</v>
      </c>
    </row>
    <row r="438" spans="2:9" ht="9.75" outlineLevel="1">
      <c r="B438" s="22" t="str">
        <f>rail11</f>
        <v>Route 11</v>
      </c>
      <c r="C438" s="6" t="s">
        <v>85</v>
      </c>
      <c r="D438" s="8">
        <f>'Rail Asset Calcs'!$G20</f>
        <v>0</v>
      </c>
      <c r="E438" s="8">
        <f>'Rail Asset Calcs'!$G20</f>
        <v>0</v>
      </c>
      <c r="F438" s="8">
        <f>'Rail Asset Calcs'!$G20</f>
        <v>0</v>
      </c>
      <c r="G438" s="8">
        <f>'Rail Asset Calcs'!$G20</f>
        <v>0</v>
      </c>
      <c r="H438" s="8">
        <f>'Rail Asset Calcs'!$G20</f>
        <v>0</v>
      </c>
      <c r="I438" s="8">
        <f>'Rail Asset Calcs'!$G20</f>
        <v>0</v>
      </c>
    </row>
    <row r="439" spans="2:9" ht="9.75" outlineLevel="1">
      <c r="B439" s="22" t="str">
        <f>rail12</f>
        <v>Route 12</v>
      </c>
      <c r="C439" s="6" t="s">
        <v>85</v>
      </c>
      <c r="D439" s="8">
        <f>'Rail Asset Calcs'!$G21</f>
        <v>0</v>
      </c>
      <c r="E439" s="8">
        <f>'Rail Asset Calcs'!$G21</f>
        <v>0</v>
      </c>
      <c r="F439" s="8">
        <f>'Rail Asset Calcs'!$G21</f>
        <v>0</v>
      </c>
      <c r="G439" s="8">
        <f>'Rail Asset Calcs'!$G21</f>
        <v>0</v>
      </c>
      <c r="H439" s="8">
        <f>'Rail Asset Calcs'!$G21</f>
        <v>0</v>
      </c>
      <c r="I439" s="8">
        <f>'Rail Asset Calcs'!$G21</f>
        <v>0</v>
      </c>
    </row>
    <row r="440" spans="2:9" ht="9.75" outlineLevel="1">
      <c r="B440" s="22" t="str">
        <f>rail13</f>
        <v>Route 13</v>
      </c>
      <c r="C440" s="6" t="s">
        <v>85</v>
      </c>
      <c r="D440" s="8">
        <f>'Rail Asset Calcs'!$G22</f>
        <v>0</v>
      </c>
      <c r="E440" s="8">
        <f>'Rail Asset Calcs'!$G22</f>
        <v>0</v>
      </c>
      <c r="F440" s="8">
        <f>'Rail Asset Calcs'!$G22</f>
        <v>0</v>
      </c>
      <c r="G440" s="8">
        <f>'Rail Asset Calcs'!$G22</f>
        <v>0</v>
      </c>
      <c r="H440" s="8">
        <f>'Rail Asset Calcs'!$G22</f>
        <v>0</v>
      </c>
      <c r="I440" s="8">
        <f>'Rail Asset Calcs'!$G22</f>
        <v>0</v>
      </c>
    </row>
    <row r="441" spans="2:9" ht="9.75" outlineLevel="1">
      <c r="B441" s="22" t="str">
        <f>rail14</f>
        <v>Route 14</v>
      </c>
      <c r="C441" s="6" t="s">
        <v>85</v>
      </c>
      <c r="D441" s="8">
        <f>'Rail Asset Calcs'!$G23</f>
        <v>0</v>
      </c>
      <c r="E441" s="8">
        <f>'Rail Asset Calcs'!$G23</f>
        <v>0</v>
      </c>
      <c r="F441" s="8">
        <f>'Rail Asset Calcs'!$G23</f>
        <v>0</v>
      </c>
      <c r="G441" s="8">
        <f>'Rail Asset Calcs'!$G23</f>
        <v>0</v>
      </c>
      <c r="H441" s="8">
        <f>'Rail Asset Calcs'!$G23</f>
        <v>0</v>
      </c>
      <c r="I441" s="8">
        <f>'Rail Asset Calcs'!$G23</f>
        <v>0</v>
      </c>
    </row>
    <row r="442" spans="2:9" ht="9.75" outlineLevel="1">
      <c r="B442" s="22" t="str">
        <f>rail15</f>
        <v>Route 15</v>
      </c>
      <c r="C442" s="6" t="s">
        <v>85</v>
      </c>
      <c r="D442" s="8">
        <f>'Rail Asset Calcs'!$G24</f>
        <v>0</v>
      </c>
      <c r="E442" s="8">
        <f>'Rail Asset Calcs'!$G24</f>
        <v>0</v>
      </c>
      <c r="F442" s="8">
        <f>'Rail Asset Calcs'!$G24</f>
        <v>0</v>
      </c>
      <c r="G442" s="8">
        <f>'Rail Asset Calcs'!$G24</f>
        <v>0</v>
      </c>
      <c r="H442" s="8">
        <f>'Rail Asset Calcs'!$G24</f>
        <v>0</v>
      </c>
      <c r="I442" s="8">
        <f>'Rail Asset Calcs'!$G24</f>
        <v>0</v>
      </c>
    </row>
    <row r="443" spans="2:9" ht="9.75" outlineLevel="1">
      <c r="B443" s="22" t="str">
        <f>rail16</f>
        <v>Route 16</v>
      </c>
      <c r="C443" s="6" t="s">
        <v>85</v>
      </c>
      <c r="D443" s="8">
        <f>'Rail Asset Calcs'!$G25</f>
        <v>0</v>
      </c>
      <c r="E443" s="8">
        <f>'Rail Asset Calcs'!$G25</f>
        <v>0</v>
      </c>
      <c r="F443" s="8">
        <f>'Rail Asset Calcs'!$G25</f>
        <v>0</v>
      </c>
      <c r="G443" s="8">
        <f>'Rail Asset Calcs'!$G25</f>
        <v>0</v>
      </c>
      <c r="H443" s="8">
        <f>'Rail Asset Calcs'!$G25</f>
        <v>0</v>
      </c>
      <c r="I443" s="8">
        <f>'Rail Asset Calcs'!$G25</f>
        <v>0</v>
      </c>
    </row>
    <row r="444" spans="2:9" ht="9.75" outlineLevel="1">
      <c r="B444" s="22" t="str">
        <f>rail17</f>
        <v>Route 17</v>
      </c>
      <c r="C444" s="6" t="s">
        <v>85</v>
      </c>
      <c r="D444" s="8">
        <f>'Rail Asset Calcs'!$G26</f>
        <v>0</v>
      </c>
      <c r="E444" s="8">
        <f>'Rail Asset Calcs'!$G26</f>
        <v>0</v>
      </c>
      <c r="F444" s="8">
        <f>'Rail Asset Calcs'!$G26</f>
        <v>0</v>
      </c>
      <c r="G444" s="8">
        <f>'Rail Asset Calcs'!$G26</f>
        <v>0</v>
      </c>
      <c r="H444" s="8">
        <f>'Rail Asset Calcs'!$G26</f>
        <v>0</v>
      </c>
      <c r="I444" s="8">
        <f>'Rail Asset Calcs'!$G26</f>
        <v>0</v>
      </c>
    </row>
    <row r="445" spans="2:9" ht="9.75" outlineLevel="1">
      <c r="B445" s="22" t="str">
        <f>rail18</f>
        <v>Route 18</v>
      </c>
      <c r="C445" s="6" t="s">
        <v>85</v>
      </c>
      <c r="D445" s="8">
        <f>'Rail Asset Calcs'!$G27</f>
        <v>0</v>
      </c>
      <c r="E445" s="8">
        <f>'Rail Asset Calcs'!$G27</f>
        <v>0</v>
      </c>
      <c r="F445" s="8">
        <f>'Rail Asset Calcs'!$G27</f>
        <v>0</v>
      </c>
      <c r="G445" s="8">
        <f>'Rail Asset Calcs'!$G27</f>
        <v>0</v>
      </c>
      <c r="H445" s="8">
        <f>'Rail Asset Calcs'!$G27</f>
        <v>0</v>
      </c>
      <c r="I445" s="8">
        <f>'Rail Asset Calcs'!$G27</f>
        <v>0</v>
      </c>
    </row>
    <row r="446" spans="2:9" ht="9.75" outlineLevel="1">
      <c r="B446" s="22" t="str">
        <f>rail19</f>
        <v>Route 19</v>
      </c>
      <c r="C446" s="6" t="s">
        <v>85</v>
      </c>
      <c r="D446" s="8">
        <f>'Rail Asset Calcs'!$G28</f>
        <v>0</v>
      </c>
      <c r="E446" s="8">
        <f>'Rail Asset Calcs'!$G28</f>
        <v>0</v>
      </c>
      <c r="F446" s="8">
        <f>'Rail Asset Calcs'!$G28</f>
        <v>0</v>
      </c>
      <c r="G446" s="8">
        <f>'Rail Asset Calcs'!$G28</f>
        <v>0</v>
      </c>
      <c r="H446" s="8">
        <f>'Rail Asset Calcs'!$G28</f>
        <v>0</v>
      </c>
      <c r="I446" s="8">
        <f>'Rail Asset Calcs'!$G28</f>
        <v>0</v>
      </c>
    </row>
    <row r="447" spans="2:9" ht="9.75" outlineLevel="1">
      <c r="B447" s="22" t="str">
        <f>rail20</f>
        <v>Route 20</v>
      </c>
      <c r="C447" s="6" t="s">
        <v>85</v>
      </c>
      <c r="D447" s="8">
        <f>'Rail Asset Calcs'!$G29</f>
        <v>0</v>
      </c>
      <c r="E447" s="8">
        <f>'Rail Asset Calcs'!$G29</f>
        <v>0</v>
      </c>
      <c r="F447" s="8">
        <f>'Rail Asset Calcs'!$G29</f>
        <v>0</v>
      </c>
      <c r="G447" s="8">
        <f>'Rail Asset Calcs'!$G29</f>
        <v>0</v>
      </c>
      <c r="H447" s="8">
        <f>'Rail Asset Calcs'!$G29</f>
        <v>0</v>
      </c>
      <c r="I447" s="8">
        <f>'Rail Asset Calcs'!$G29</f>
        <v>0</v>
      </c>
    </row>
    <row r="448" spans="2:9" ht="9.75" outlineLevel="1">
      <c r="B448" s="1" t="s">
        <v>278</v>
      </c>
      <c r="C448" s="6" t="s">
        <v>85</v>
      </c>
      <c r="D448" s="170">
        <f aca="true" t="shared" si="30" ref="D448:I448">SUM(D428:D447)</f>
        <v>11922390.603975799</v>
      </c>
      <c r="E448" s="170">
        <f t="shared" si="30"/>
        <v>11922390.603975799</v>
      </c>
      <c r="F448" s="170">
        <f t="shared" si="30"/>
        <v>11922390.603975799</v>
      </c>
      <c r="G448" s="170">
        <f t="shared" si="30"/>
        <v>11922390.603975799</v>
      </c>
      <c r="H448" s="170">
        <f t="shared" si="30"/>
        <v>11922390.603975799</v>
      </c>
      <c r="I448" s="170">
        <f t="shared" si="30"/>
        <v>11922390.603975799</v>
      </c>
    </row>
    <row r="449" ht="9.75" outlineLevel="1"/>
    <row r="450" spans="2:9" ht="9.75" outlineLevel="1">
      <c r="B450" s="2" t="s">
        <v>37</v>
      </c>
      <c r="C450" s="6" t="s">
        <v>85</v>
      </c>
      <c r="D450" s="30">
        <f aca="true" t="shared" si="31" ref="D450:I450">D402+D425+D448</f>
        <v>165901420.43672562</v>
      </c>
      <c r="E450" s="30">
        <f t="shared" si="31"/>
        <v>165901420.43672562</v>
      </c>
      <c r="F450" s="30">
        <f t="shared" si="31"/>
        <v>165901420.43672562</v>
      </c>
      <c r="G450" s="30">
        <f t="shared" si="31"/>
        <v>165901420.43672562</v>
      </c>
      <c r="H450" s="30">
        <f t="shared" si="31"/>
        <v>165901420.43672562</v>
      </c>
      <c r="I450" s="30">
        <f t="shared" si="31"/>
        <v>165901420.43672562</v>
      </c>
    </row>
    <row r="451" ht="9.75" outlineLevel="1"/>
    <row r="452" spans="1:2" ht="9.75">
      <c r="A452" s="198" t="str">
        <f>HYPERLINK(CONCATENATE(workbookname,"$A$7"),"Top")</f>
        <v>Top</v>
      </c>
      <c r="B452" s="3" t="str">
        <f>Contents!B99</f>
        <v>Lease Expenses</v>
      </c>
    </row>
    <row r="453" ht="9.75">
      <c r="B453" s="171" t="str">
        <f>Contents!D99</f>
        <v>The different types of lease expenses allocated towards ceiling costing</v>
      </c>
    </row>
    <row r="454" spans="2:9" ht="9.75" outlineLevel="1">
      <c r="B454" s="171" t="s">
        <v>240</v>
      </c>
      <c r="D454" s="113">
        <f>1</f>
        <v>1</v>
      </c>
      <c r="E454" s="113">
        <f>D454*(1+inflation)</f>
        <v>1.03</v>
      </c>
      <c r="F454" s="113">
        <f>E454*(1+inflation)</f>
        <v>1.0609</v>
      </c>
      <c r="G454" s="113">
        <f>F454*(1+inflation)</f>
        <v>1.092727</v>
      </c>
      <c r="H454" s="113">
        <f>G454*(1+inflation)</f>
        <v>1.1255088100000001</v>
      </c>
      <c r="I454" s="113">
        <f>H454*(1+inflation)</f>
        <v>1.1592740743</v>
      </c>
    </row>
    <row r="455" ht="9.75" outlineLevel="1"/>
    <row r="456" ht="9.75" outlineLevel="1">
      <c r="B456" s="2" t="s">
        <v>241</v>
      </c>
    </row>
    <row r="457" spans="2:9" ht="9.75" outlineLevel="1">
      <c r="B457" s="22" t="str">
        <f>rail1</f>
        <v>Cloudbreak to Port Dumper</v>
      </c>
      <c r="C457" s="6" t="s">
        <v>85</v>
      </c>
      <c r="D457" s="8">
        <f>'Rail Asset Calcs'!$L10*D$454</f>
        <v>0</v>
      </c>
      <c r="E457" s="8">
        <f>'Rail Asset Calcs'!$L10*E$454</f>
        <v>0</v>
      </c>
      <c r="F457" s="8">
        <f>'Rail Asset Calcs'!$L10*F$454</f>
        <v>0</v>
      </c>
      <c r="G457" s="8">
        <f>'Rail Asset Calcs'!$L10*G$454</f>
        <v>0</v>
      </c>
      <c r="H457" s="8">
        <f>'Rail Asset Calcs'!$L10*H$454</f>
        <v>0</v>
      </c>
      <c r="I457" s="8">
        <f>'Rail Asset Calcs'!$L10*I$454</f>
        <v>0</v>
      </c>
    </row>
    <row r="458" spans="2:9" ht="9.75" outlineLevel="1">
      <c r="B458" s="22" t="str">
        <f>rail2</f>
        <v>Route 2</v>
      </c>
      <c r="C458" s="6" t="s">
        <v>85</v>
      </c>
      <c r="D458" s="8">
        <f>'Rail Asset Calcs'!$L11*D$454</f>
        <v>0</v>
      </c>
      <c r="E458" s="8">
        <f>'Rail Asset Calcs'!$L11*E$454</f>
        <v>0</v>
      </c>
      <c r="F458" s="8">
        <f>'Rail Asset Calcs'!$L11*F$454</f>
        <v>0</v>
      </c>
      <c r="G458" s="8">
        <f>'Rail Asset Calcs'!$L11*G$454</f>
        <v>0</v>
      </c>
      <c r="H458" s="8">
        <f>'Rail Asset Calcs'!$L11*H$454</f>
        <v>0</v>
      </c>
      <c r="I458" s="8">
        <f>'Rail Asset Calcs'!$L11*I$454</f>
        <v>0</v>
      </c>
    </row>
    <row r="459" spans="2:9" ht="9.75" outlineLevel="1">
      <c r="B459" s="22" t="str">
        <f>rail3</f>
        <v>Route 3</v>
      </c>
      <c r="C459" s="6" t="s">
        <v>85</v>
      </c>
      <c r="D459" s="8">
        <f>'Rail Asset Calcs'!$L12*D$454</f>
        <v>0</v>
      </c>
      <c r="E459" s="8">
        <f>'Rail Asset Calcs'!$L12*E$454</f>
        <v>0</v>
      </c>
      <c r="F459" s="8">
        <f>'Rail Asset Calcs'!$L12*F$454</f>
        <v>0</v>
      </c>
      <c r="G459" s="8">
        <f>'Rail Asset Calcs'!$L12*G$454</f>
        <v>0</v>
      </c>
      <c r="H459" s="8">
        <f>'Rail Asset Calcs'!$L12*H$454</f>
        <v>0</v>
      </c>
      <c r="I459" s="8">
        <f>'Rail Asset Calcs'!$L12*I$454</f>
        <v>0</v>
      </c>
    </row>
    <row r="460" spans="2:9" ht="9.75" outlineLevel="1">
      <c r="B460" s="22" t="str">
        <f>rail4</f>
        <v>Route 4</v>
      </c>
      <c r="C460" s="6" t="s">
        <v>85</v>
      </c>
      <c r="D460" s="8">
        <f>'Rail Asset Calcs'!$L13*D$454</f>
        <v>0</v>
      </c>
      <c r="E460" s="8">
        <f>'Rail Asset Calcs'!$L13*E$454</f>
        <v>0</v>
      </c>
      <c r="F460" s="8">
        <f>'Rail Asset Calcs'!$L13*F$454</f>
        <v>0</v>
      </c>
      <c r="G460" s="8">
        <f>'Rail Asset Calcs'!$L13*G$454</f>
        <v>0</v>
      </c>
      <c r="H460" s="8">
        <f>'Rail Asset Calcs'!$L13*H$454</f>
        <v>0</v>
      </c>
      <c r="I460" s="8">
        <f>'Rail Asset Calcs'!$L13*I$454</f>
        <v>0</v>
      </c>
    </row>
    <row r="461" spans="2:9" ht="9.75" outlineLevel="1">
      <c r="B461" s="22" t="str">
        <f>rail5</f>
        <v>Route 5</v>
      </c>
      <c r="C461" s="6" t="s">
        <v>85</v>
      </c>
      <c r="D461" s="8">
        <f>'Rail Asset Calcs'!$L14*D$454</f>
        <v>0</v>
      </c>
      <c r="E461" s="8">
        <f>'Rail Asset Calcs'!$L14*E$454</f>
        <v>0</v>
      </c>
      <c r="F461" s="8">
        <f>'Rail Asset Calcs'!$L14*F$454</f>
        <v>0</v>
      </c>
      <c r="G461" s="8">
        <f>'Rail Asset Calcs'!$L14*G$454</f>
        <v>0</v>
      </c>
      <c r="H461" s="8">
        <f>'Rail Asset Calcs'!$L14*H$454</f>
        <v>0</v>
      </c>
      <c r="I461" s="8">
        <f>'Rail Asset Calcs'!$L14*I$454</f>
        <v>0</v>
      </c>
    </row>
    <row r="462" spans="2:9" ht="9.75" outlineLevel="1">
      <c r="B462" s="22" t="str">
        <f>rail6</f>
        <v>Route 6</v>
      </c>
      <c r="C462" s="6" t="s">
        <v>85</v>
      </c>
      <c r="D462" s="8">
        <f>'Rail Asset Calcs'!$L15*D$454</f>
        <v>0</v>
      </c>
      <c r="E462" s="8">
        <f>'Rail Asset Calcs'!$L15*E$454</f>
        <v>0</v>
      </c>
      <c r="F462" s="8">
        <f>'Rail Asset Calcs'!$L15*F$454</f>
        <v>0</v>
      </c>
      <c r="G462" s="8">
        <f>'Rail Asset Calcs'!$L15*G$454</f>
        <v>0</v>
      </c>
      <c r="H462" s="8">
        <f>'Rail Asset Calcs'!$L15*H$454</f>
        <v>0</v>
      </c>
      <c r="I462" s="8">
        <f>'Rail Asset Calcs'!$L15*I$454</f>
        <v>0</v>
      </c>
    </row>
    <row r="463" spans="2:9" ht="9.75" outlineLevel="1">
      <c r="B463" s="22" t="str">
        <f>rail7</f>
        <v>Route 7</v>
      </c>
      <c r="C463" s="6" t="s">
        <v>85</v>
      </c>
      <c r="D463" s="8">
        <f>'Rail Asset Calcs'!$L16*D$454</f>
        <v>0</v>
      </c>
      <c r="E463" s="8">
        <f>'Rail Asset Calcs'!$L16*E$454</f>
        <v>0</v>
      </c>
      <c r="F463" s="8">
        <f>'Rail Asset Calcs'!$L16*F$454</f>
        <v>0</v>
      </c>
      <c r="G463" s="8">
        <f>'Rail Asset Calcs'!$L16*G$454</f>
        <v>0</v>
      </c>
      <c r="H463" s="8">
        <f>'Rail Asset Calcs'!$L16*H$454</f>
        <v>0</v>
      </c>
      <c r="I463" s="8">
        <f>'Rail Asset Calcs'!$L16*I$454</f>
        <v>0</v>
      </c>
    </row>
    <row r="464" spans="2:9" ht="9.75" outlineLevel="1">
      <c r="B464" s="22" t="str">
        <f>rail8</f>
        <v>Route 8</v>
      </c>
      <c r="C464" s="6" t="s">
        <v>85</v>
      </c>
      <c r="D464" s="8">
        <f>'Rail Asset Calcs'!$L17*D$454</f>
        <v>0</v>
      </c>
      <c r="E464" s="8">
        <f>'Rail Asset Calcs'!$L17*E$454</f>
        <v>0</v>
      </c>
      <c r="F464" s="8">
        <f>'Rail Asset Calcs'!$L17*F$454</f>
        <v>0</v>
      </c>
      <c r="G464" s="8">
        <f>'Rail Asset Calcs'!$L17*G$454</f>
        <v>0</v>
      </c>
      <c r="H464" s="8">
        <f>'Rail Asset Calcs'!$L17*H$454</f>
        <v>0</v>
      </c>
      <c r="I464" s="8">
        <f>'Rail Asset Calcs'!$L17*I$454</f>
        <v>0</v>
      </c>
    </row>
    <row r="465" spans="2:9" ht="9.75" outlineLevel="1">
      <c r="B465" s="22" t="str">
        <f>rail9</f>
        <v>Route 9</v>
      </c>
      <c r="C465" s="6" t="s">
        <v>85</v>
      </c>
      <c r="D465" s="8">
        <f>'Rail Asset Calcs'!$L18*D$454</f>
        <v>0</v>
      </c>
      <c r="E465" s="8">
        <f>'Rail Asset Calcs'!$L18*E$454</f>
        <v>0</v>
      </c>
      <c r="F465" s="8">
        <f>'Rail Asset Calcs'!$L18*F$454</f>
        <v>0</v>
      </c>
      <c r="G465" s="8">
        <f>'Rail Asset Calcs'!$L18*G$454</f>
        <v>0</v>
      </c>
      <c r="H465" s="8">
        <f>'Rail Asset Calcs'!$L18*H$454</f>
        <v>0</v>
      </c>
      <c r="I465" s="8">
        <f>'Rail Asset Calcs'!$L18*I$454</f>
        <v>0</v>
      </c>
    </row>
    <row r="466" spans="2:9" ht="9.75" outlineLevel="1">
      <c r="B466" s="22" t="str">
        <f>rail10</f>
        <v>Route 10</v>
      </c>
      <c r="C466" s="6" t="s">
        <v>85</v>
      </c>
      <c r="D466" s="8">
        <f>'Rail Asset Calcs'!$L19*D$454</f>
        <v>0</v>
      </c>
      <c r="E466" s="8">
        <f>'Rail Asset Calcs'!$L19*E$454</f>
        <v>0</v>
      </c>
      <c r="F466" s="8">
        <f>'Rail Asset Calcs'!$L19*F$454</f>
        <v>0</v>
      </c>
      <c r="G466" s="8">
        <f>'Rail Asset Calcs'!$L19*G$454</f>
        <v>0</v>
      </c>
      <c r="H466" s="8">
        <f>'Rail Asset Calcs'!$L19*H$454</f>
        <v>0</v>
      </c>
      <c r="I466" s="8">
        <f>'Rail Asset Calcs'!$L19*I$454</f>
        <v>0</v>
      </c>
    </row>
    <row r="467" spans="2:9" ht="9.75" outlineLevel="1">
      <c r="B467" s="22" t="str">
        <f>rail11</f>
        <v>Route 11</v>
      </c>
      <c r="C467" s="6" t="s">
        <v>85</v>
      </c>
      <c r="D467" s="8">
        <f>'Rail Asset Calcs'!$L20*D$454</f>
        <v>0</v>
      </c>
      <c r="E467" s="8">
        <f>'Rail Asset Calcs'!$L20*E$454</f>
        <v>0</v>
      </c>
      <c r="F467" s="8">
        <f>'Rail Asset Calcs'!$L20*F$454</f>
        <v>0</v>
      </c>
      <c r="G467" s="8">
        <f>'Rail Asset Calcs'!$L20*G$454</f>
        <v>0</v>
      </c>
      <c r="H467" s="8">
        <f>'Rail Asset Calcs'!$L20*H$454</f>
        <v>0</v>
      </c>
      <c r="I467" s="8">
        <f>'Rail Asset Calcs'!$L20*I$454</f>
        <v>0</v>
      </c>
    </row>
    <row r="468" spans="2:9" ht="9.75" outlineLevel="1">
      <c r="B468" s="22" t="str">
        <f>rail12</f>
        <v>Route 12</v>
      </c>
      <c r="C468" s="6" t="s">
        <v>85</v>
      </c>
      <c r="D468" s="8">
        <f>'Rail Asset Calcs'!$L21*D$454</f>
        <v>0</v>
      </c>
      <c r="E468" s="8">
        <f>'Rail Asset Calcs'!$L21*E$454</f>
        <v>0</v>
      </c>
      <c r="F468" s="8">
        <f>'Rail Asset Calcs'!$L21*F$454</f>
        <v>0</v>
      </c>
      <c r="G468" s="8">
        <f>'Rail Asset Calcs'!$L21*G$454</f>
        <v>0</v>
      </c>
      <c r="H468" s="8">
        <f>'Rail Asset Calcs'!$L21*H$454</f>
        <v>0</v>
      </c>
      <c r="I468" s="8">
        <f>'Rail Asset Calcs'!$L21*I$454</f>
        <v>0</v>
      </c>
    </row>
    <row r="469" spans="2:9" ht="9.75" outlineLevel="1">
      <c r="B469" s="22" t="str">
        <f>rail13</f>
        <v>Route 13</v>
      </c>
      <c r="C469" s="6" t="s">
        <v>85</v>
      </c>
      <c r="D469" s="8">
        <f>'Rail Asset Calcs'!$L22*D$454</f>
        <v>0</v>
      </c>
      <c r="E469" s="8">
        <f>'Rail Asset Calcs'!$L22*E$454</f>
        <v>0</v>
      </c>
      <c r="F469" s="8">
        <f>'Rail Asset Calcs'!$L22*F$454</f>
        <v>0</v>
      </c>
      <c r="G469" s="8">
        <f>'Rail Asset Calcs'!$L22*G$454</f>
        <v>0</v>
      </c>
      <c r="H469" s="8">
        <f>'Rail Asset Calcs'!$L22*H$454</f>
        <v>0</v>
      </c>
      <c r="I469" s="8">
        <f>'Rail Asset Calcs'!$L22*I$454</f>
        <v>0</v>
      </c>
    </row>
    <row r="470" spans="2:9" ht="9.75" outlineLevel="1">
      <c r="B470" s="22" t="str">
        <f>rail14</f>
        <v>Route 14</v>
      </c>
      <c r="C470" s="6" t="s">
        <v>85</v>
      </c>
      <c r="D470" s="8">
        <f>'Rail Asset Calcs'!$L23*D$454</f>
        <v>0</v>
      </c>
      <c r="E470" s="8">
        <f>'Rail Asset Calcs'!$L23*E$454</f>
        <v>0</v>
      </c>
      <c r="F470" s="8">
        <f>'Rail Asset Calcs'!$L23*F$454</f>
        <v>0</v>
      </c>
      <c r="G470" s="8">
        <f>'Rail Asset Calcs'!$L23*G$454</f>
        <v>0</v>
      </c>
      <c r="H470" s="8">
        <f>'Rail Asset Calcs'!$L23*H$454</f>
        <v>0</v>
      </c>
      <c r="I470" s="8">
        <f>'Rail Asset Calcs'!$L23*I$454</f>
        <v>0</v>
      </c>
    </row>
    <row r="471" spans="2:9" ht="9.75" outlineLevel="1">
      <c r="B471" s="22" t="str">
        <f>rail15</f>
        <v>Route 15</v>
      </c>
      <c r="C471" s="6" t="s">
        <v>85</v>
      </c>
      <c r="D471" s="8">
        <f>'Rail Asset Calcs'!$L24*D$454</f>
        <v>0</v>
      </c>
      <c r="E471" s="8">
        <f>'Rail Asset Calcs'!$L24*E$454</f>
        <v>0</v>
      </c>
      <c r="F471" s="8">
        <f>'Rail Asset Calcs'!$L24*F$454</f>
        <v>0</v>
      </c>
      <c r="G471" s="8">
        <f>'Rail Asset Calcs'!$L24*G$454</f>
        <v>0</v>
      </c>
      <c r="H471" s="8">
        <f>'Rail Asset Calcs'!$L24*H$454</f>
        <v>0</v>
      </c>
      <c r="I471" s="8">
        <f>'Rail Asset Calcs'!$L24*I$454</f>
        <v>0</v>
      </c>
    </row>
    <row r="472" spans="2:9" ht="9.75" outlineLevel="1">
      <c r="B472" s="22" t="str">
        <f>rail16</f>
        <v>Route 16</v>
      </c>
      <c r="C472" s="6" t="s">
        <v>85</v>
      </c>
      <c r="D472" s="8">
        <f>'Rail Asset Calcs'!$L25*D$454</f>
        <v>0</v>
      </c>
      <c r="E472" s="8">
        <f>'Rail Asset Calcs'!$L25*E$454</f>
        <v>0</v>
      </c>
      <c r="F472" s="8">
        <f>'Rail Asset Calcs'!$L25*F$454</f>
        <v>0</v>
      </c>
      <c r="G472" s="8">
        <f>'Rail Asset Calcs'!$L25*G$454</f>
        <v>0</v>
      </c>
      <c r="H472" s="8">
        <f>'Rail Asset Calcs'!$L25*H$454</f>
        <v>0</v>
      </c>
      <c r="I472" s="8">
        <f>'Rail Asset Calcs'!$L25*I$454</f>
        <v>0</v>
      </c>
    </row>
    <row r="473" spans="2:9" ht="9.75" outlineLevel="1">
      <c r="B473" s="22" t="str">
        <f>rail17</f>
        <v>Route 17</v>
      </c>
      <c r="C473" s="6" t="s">
        <v>85</v>
      </c>
      <c r="D473" s="8">
        <f>'Rail Asset Calcs'!$L26*D$454</f>
        <v>0</v>
      </c>
      <c r="E473" s="8">
        <f>'Rail Asset Calcs'!$L26*E$454</f>
        <v>0</v>
      </c>
      <c r="F473" s="8">
        <f>'Rail Asset Calcs'!$L26*F$454</f>
        <v>0</v>
      </c>
      <c r="G473" s="8">
        <f>'Rail Asset Calcs'!$L26*G$454</f>
        <v>0</v>
      </c>
      <c r="H473" s="8">
        <f>'Rail Asset Calcs'!$L26*H$454</f>
        <v>0</v>
      </c>
      <c r="I473" s="8">
        <f>'Rail Asset Calcs'!$L26*I$454</f>
        <v>0</v>
      </c>
    </row>
    <row r="474" spans="2:9" ht="9.75" outlineLevel="1">
      <c r="B474" s="22" t="str">
        <f>rail18</f>
        <v>Route 18</v>
      </c>
      <c r="C474" s="6" t="s">
        <v>85</v>
      </c>
      <c r="D474" s="8">
        <f>'Rail Asset Calcs'!$L27*D$454</f>
        <v>0</v>
      </c>
      <c r="E474" s="8">
        <f>'Rail Asset Calcs'!$L27*E$454</f>
        <v>0</v>
      </c>
      <c r="F474" s="8">
        <f>'Rail Asset Calcs'!$L27*F$454</f>
        <v>0</v>
      </c>
      <c r="G474" s="8">
        <f>'Rail Asset Calcs'!$L27*G$454</f>
        <v>0</v>
      </c>
      <c r="H474" s="8">
        <f>'Rail Asset Calcs'!$L27*H$454</f>
        <v>0</v>
      </c>
      <c r="I474" s="8">
        <f>'Rail Asset Calcs'!$L27*I$454</f>
        <v>0</v>
      </c>
    </row>
    <row r="475" spans="2:9" ht="9.75" outlineLevel="1">
      <c r="B475" s="22" t="str">
        <f>rail19</f>
        <v>Route 19</v>
      </c>
      <c r="C475" s="6" t="s">
        <v>85</v>
      </c>
      <c r="D475" s="8">
        <f>'Rail Asset Calcs'!$L28*D$454</f>
        <v>0</v>
      </c>
      <c r="E475" s="8">
        <f>'Rail Asset Calcs'!$L28*E$454</f>
        <v>0</v>
      </c>
      <c r="F475" s="8">
        <f>'Rail Asset Calcs'!$L28*F$454</f>
        <v>0</v>
      </c>
      <c r="G475" s="8">
        <f>'Rail Asset Calcs'!$L28*G$454</f>
        <v>0</v>
      </c>
      <c r="H475" s="8">
        <f>'Rail Asset Calcs'!$L28*H$454</f>
        <v>0</v>
      </c>
      <c r="I475" s="8">
        <f>'Rail Asset Calcs'!$L28*I$454</f>
        <v>0</v>
      </c>
    </row>
    <row r="476" spans="2:9" ht="9.75" outlineLevel="1">
      <c r="B476" s="22" t="str">
        <f>rail20</f>
        <v>Route 20</v>
      </c>
      <c r="C476" s="6" t="s">
        <v>85</v>
      </c>
      <c r="D476" s="8">
        <f>'Rail Asset Calcs'!$L29*D$454</f>
        <v>0</v>
      </c>
      <c r="E476" s="8">
        <f>'Rail Asset Calcs'!$L29*E$454</f>
        <v>0</v>
      </c>
      <c r="F476" s="8">
        <f>'Rail Asset Calcs'!$L29*F$454</f>
        <v>0</v>
      </c>
      <c r="G476" s="8">
        <f>'Rail Asset Calcs'!$L29*G$454</f>
        <v>0</v>
      </c>
      <c r="H476" s="8">
        <f>'Rail Asset Calcs'!$L29*H$454</f>
        <v>0</v>
      </c>
      <c r="I476" s="8">
        <f>'Rail Asset Calcs'!$L29*I$454</f>
        <v>0</v>
      </c>
    </row>
    <row r="477" spans="2:9" ht="9.75" outlineLevel="1">
      <c r="B477" s="1" t="s">
        <v>250</v>
      </c>
      <c r="C477" s="6" t="s">
        <v>85</v>
      </c>
      <c r="D477" s="170">
        <f aca="true" t="shared" si="32" ref="D477:I477">SUM(D457:D476)</f>
        <v>0</v>
      </c>
      <c r="E477" s="170">
        <f t="shared" si="32"/>
        <v>0</v>
      </c>
      <c r="F477" s="170">
        <f t="shared" si="32"/>
        <v>0</v>
      </c>
      <c r="G477" s="170">
        <f t="shared" si="32"/>
        <v>0</v>
      </c>
      <c r="H477" s="170">
        <f t="shared" si="32"/>
        <v>0</v>
      </c>
      <c r="I477" s="170">
        <f t="shared" si="32"/>
        <v>0</v>
      </c>
    </row>
    <row r="478" ht="9.75" outlineLevel="1"/>
    <row r="479" ht="9.75" outlineLevel="1">
      <c r="B479" s="2" t="s">
        <v>242</v>
      </c>
    </row>
    <row r="480" spans="2:9" ht="9.75" outlineLevel="1">
      <c r="B480" s="22" t="str">
        <f>rail1</f>
        <v>Cloudbreak to Port Dumper</v>
      </c>
      <c r="C480" s="6" t="s">
        <v>85</v>
      </c>
      <c r="D480" s="8">
        <f>'Rail Asset Calcs'!$M10*D$454</f>
        <v>0</v>
      </c>
      <c r="E480" s="8">
        <f>'Rail Asset Calcs'!$M10*E$454</f>
        <v>0</v>
      </c>
      <c r="F480" s="8">
        <f>'Rail Asset Calcs'!$M10*F$454</f>
        <v>0</v>
      </c>
      <c r="G480" s="8">
        <f>'Rail Asset Calcs'!$M10*G$454</f>
        <v>0</v>
      </c>
      <c r="H480" s="8">
        <f>'Rail Asset Calcs'!$M10*H$454</f>
        <v>0</v>
      </c>
      <c r="I480" s="8">
        <f>'Rail Asset Calcs'!$M10*I$454</f>
        <v>0</v>
      </c>
    </row>
    <row r="481" spans="2:9" ht="9.75" outlineLevel="1">
      <c r="B481" s="22" t="str">
        <f>rail2</f>
        <v>Route 2</v>
      </c>
      <c r="C481" s="6" t="s">
        <v>85</v>
      </c>
      <c r="D481" s="8">
        <f>'Rail Asset Calcs'!$M11*D$454</f>
        <v>0</v>
      </c>
      <c r="E481" s="8">
        <f>'Rail Asset Calcs'!$M11*E$454</f>
        <v>0</v>
      </c>
      <c r="F481" s="8">
        <f>'Rail Asset Calcs'!$M11*F$454</f>
        <v>0</v>
      </c>
      <c r="G481" s="8">
        <f>'Rail Asset Calcs'!$M11*G$454</f>
        <v>0</v>
      </c>
      <c r="H481" s="8">
        <f>'Rail Asset Calcs'!$M11*H$454</f>
        <v>0</v>
      </c>
      <c r="I481" s="8">
        <f>'Rail Asset Calcs'!$M11*I$454</f>
        <v>0</v>
      </c>
    </row>
    <row r="482" spans="2:9" ht="9.75" outlineLevel="1">
      <c r="B482" s="22" t="str">
        <f>rail3</f>
        <v>Route 3</v>
      </c>
      <c r="C482" s="6" t="s">
        <v>85</v>
      </c>
      <c r="D482" s="8">
        <f>'Rail Asset Calcs'!$M12*D$454</f>
        <v>0</v>
      </c>
      <c r="E482" s="8">
        <f>'Rail Asset Calcs'!$M12*E$454</f>
        <v>0</v>
      </c>
      <c r="F482" s="8">
        <f>'Rail Asset Calcs'!$M12*F$454</f>
        <v>0</v>
      </c>
      <c r="G482" s="8">
        <f>'Rail Asset Calcs'!$M12*G$454</f>
        <v>0</v>
      </c>
      <c r="H482" s="8">
        <f>'Rail Asset Calcs'!$M12*H$454</f>
        <v>0</v>
      </c>
      <c r="I482" s="8">
        <f>'Rail Asset Calcs'!$M12*I$454</f>
        <v>0</v>
      </c>
    </row>
    <row r="483" spans="2:9" ht="9.75" outlineLevel="1">
      <c r="B483" s="22" t="str">
        <f>rail4</f>
        <v>Route 4</v>
      </c>
      <c r="C483" s="6" t="s">
        <v>85</v>
      </c>
      <c r="D483" s="8">
        <f>'Rail Asset Calcs'!$M13*D$454</f>
        <v>0</v>
      </c>
      <c r="E483" s="8">
        <f>'Rail Asset Calcs'!$M13*E$454</f>
        <v>0</v>
      </c>
      <c r="F483" s="8">
        <f>'Rail Asset Calcs'!$M13*F$454</f>
        <v>0</v>
      </c>
      <c r="G483" s="8">
        <f>'Rail Asset Calcs'!$M13*G$454</f>
        <v>0</v>
      </c>
      <c r="H483" s="8">
        <f>'Rail Asset Calcs'!$M13*H$454</f>
        <v>0</v>
      </c>
      <c r="I483" s="8">
        <f>'Rail Asset Calcs'!$M13*I$454</f>
        <v>0</v>
      </c>
    </row>
    <row r="484" spans="2:9" ht="9.75" outlineLevel="1">
      <c r="B484" s="22" t="str">
        <f>rail5</f>
        <v>Route 5</v>
      </c>
      <c r="C484" s="6" t="s">
        <v>85</v>
      </c>
      <c r="D484" s="8">
        <f>'Rail Asset Calcs'!$M14*D$454</f>
        <v>0</v>
      </c>
      <c r="E484" s="8">
        <f>'Rail Asset Calcs'!$M14*E$454</f>
        <v>0</v>
      </c>
      <c r="F484" s="8">
        <f>'Rail Asset Calcs'!$M14*F$454</f>
        <v>0</v>
      </c>
      <c r="G484" s="8">
        <f>'Rail Asset Calcs'!$M14*G$454</f>
        <v>0</v>
      </c>
      <c r="H484" s="8">
        <f>'Rail Asset Calcs'!$M14*H$454</f>
        <v>0</v>
      </c>
      <c r="I484" s="8">
        <f>'Rail Asset Calcs'!$M14*I$454</f>
        <v>0</v>
      </c>
    </row>
    <row r="485" spans="2:9" ht="9.75" outlineLevel="1">
      <c r="B485" s="22" t="str">
        <f>rail6</f>
        <v>Route 6</v>
      </c>
      <c r="C485" s="6" t="s">
        <v>85</v>
      </c>
      <c r="D485" s="8">
        <f>'Rail Asset Calcs'!$M15*D$454</f>
        <v>0</v>
      </c>
      <c r="E485" s="8">
        <f>'Rail Asset Calcs'!$M15*E$454</f>
        <v>0</v>
      </c>
      <c r="F485" s="8">
        <f>'Rail Asset Calcs'!$M15*F$454</f>
        <v>0</v>
      </c>
      <c r="G485" s="8">
        <f>'Rail Asset Calcs'!$M15*G$454</f>
        <v>0</v>
      </c>
      <c r="H485" s="8">
        <f>'Rail Asset Calcs'!$M15*H$454</f>
        <v>0</v>
      </c>
      <c r="I485" s="8">
        <f>'Rail Asset Calcs'!$M15*I$454</f>
        <v>0</v>
      </c>
    </row>
    <row r="486" spans="2:9" ht="9.75" outlineLevel="1">
      <c r="B486" s="22" t="str">
        <f>rail7</f>
        <v>Route 7</v>
      </c>
      <c r="C486" s="6" t="s">
        <v>85</v>
      </c>
      <c r="D486" s="8">
        <f>'Rail Asset Calcs'!$M16*D$454</f>
        <v>0</v>
      </c>
      <c r="E486" s="8">
        <f>'Rail Asset Calcs'!$M16*E$454</f>
        <v>0</v>
      </c>
      <c r="F486" s="8">
        <f>'Rail Asset Calcs'!$M16*F$454</f>
        <v>0</v>
      </c>
      <c r="G486" s="8">
        <f>'Rail Asset Calcs'!$M16*G$454</f>
        <v>0</v>
      </c>
      <c r="H486" s="8">
        <f>'Rail Asset Calcs'!$M16*H$454</f>
        <v>0</v>
      </c>
      <c r="I486" s="8">
        <f>'Rail Asset Calcs'!$M16*I$454</f>
        <v>0</v>
      </c>
    </row>
    <row r="487" spans="2:9" ht="9.75" outlineLevel="1">
      <c r="B487" s="22" t="str">
        <f>rail8</f>
        <v>Route 8</v>
      </c>
      <c r="C487" s="6" t="s">
        <v>85</v>
      </c>
      <c r="D487" s="8">
        <f>'Rail Asset Calcs'!$M17*D$454</f>
        <v>0</v>
      </c>
      <c r="E487" s="8">
        <f>'Rail Asset Calcs'!$M17*E$454</f>
        <v>0</v>
      </c>
      <c r="F487" s="8">
        <f>'Rail Asset Calcs'!$M17*F$454</f>
        <v>0</v>
      </c>
      <c r="G487" s="8">
        <f>'Rail Asset Calcs'!$M17*G$454</f>
        <v>0</v>
      </c>
      <c r="H487" s="8">
        <f>'Rail Asset Calcs'!$M17*H$454</f>
        <v>0</v>
      </c>
      <c r="I487" s="8">
        <f>'Rail Asset Calcs'!$M17*I$454</f>
        <v>0</v>
      </c>
    </row>
    <row r="488" spans="2:9" ht="9.75" outlineLevel="1">
      <c r="B488" s="22" t="str">
        <f>rail9</f>
        <v>Route 9</v>
      </c>
      <c r="C488" s="6" t="s">
        <v>85</v>
      </c>
      <c r="D488" s="8">
        <f>'Rail Asset Calcs'!$M18*D$454</f>
        <v>0</v>
      </c>
      <c r="E488" s="8">
        <f>'Rail Asset Calcs'!$M18*E$454</f>
        <v>0</v>
      </c>
      <c r="F488" s="8">
        <f>'Rail Asset Calcs'!$M18*F$454</f>
        <v>0</v>
      </c>
      <c r="G488" s="8">
        <f>'Rail Asset Calcs'!$M18*G$454</f>
        <v>0</v>
      </c>
      <c r="H488" s="8">
        <f>'Rail Asset Calcs'!$M18*H$454</f>
        <v>0</v>
      </c>
      <c r="I488" s="8">
        <f>'Rail Asset Calcs'!$M18*I$454</f>
        <v>0</v>
      </c>
    </row>
    <row r="489" spans="2:9" ht="9.75" outlineLevel="1">
      <c r="B489" s="22" t="str">
        <f>rail10</f>
        <v>Route 10</v>
      </c>
      <c r="C489" s="6" t="s">
        <v>85</v>
      </c>
      <c r="D489" s="8">
        <f>'Rail Asset Calcs'!$M19*D$454</f>
        <v>0</v>
      </c>
      <c r="E489" s="8">
        <f>'Rail Asset Calcs'!$M19*E$454</f>
        <v>0</v>
      </c>
      <c r="F489" s="8">
        <f>'Rail Asset Calcs'!$M19*F$454</f>
        <v>0</v>
      </c>
      <c r="G489" s="8">
        <f>'Rail Asset Calcs'!$M19*G$454</f>
        <v>0</v>
      </c>
      <c r="H489" s="8">
        <f>'Rail Asset Calcs'!$M19*H$454</f>
        <v>0</v>
      </c>
      <c r="I489" s="8">
        <f>'Rail Asset Calcs'!$M19*I$454</f>
        <v>0</v>
      </c>
    </row>
    <row r="490" spans="2:9" ht="9.75" outlineLevel="1">
      <c r="B490" s="22" t="str">
        <f>rail11</f>
        <v>Route 11</v>
      </c>
      <c r="C490" s="6" t="s">
        <v>85</v>
      </c>
      <c r="D490" s="8">
        <f>'Rail Asset Calcs'!$M20*D$454</f>
        <v>0</v>
      </c>
      <c r="E490" s="8">
        <f>'Rail Asset Calcs'!$M20*E$454</f>
        <v>0</v>
      </c>
      <c r="F490" s="8">
        <f>'Rail Asset Calcs'!$M20*F$454</f>
        <v>0</v>
      </c>
      <c r="G490" s="8">
        <f>'Rail Asset Calcs'!$M20*G$454</f>
        <v>0</v>
      </c>
      <c r="H490" s="8">
        <f>'Rail Asset Calcs'!$M20*H$454</f>
        <v>0</v>
      </c>
      <c r="I490" s="8">
        <f>'Rail Asset Calcs'!$M20*I$454</f>
        <v>0</v>
      </c>
    </row>
    <row r="491" spans="2:9" ht="9.75" outlineLevel="1">
      <c r="B491" s="22" t="str">
        <f>rail12</f>
        <v>Route 12</v>
      </c>
      <c r="C491" s="6" t="s">
        <v>85</v>
      </c>
      <c r="D491" s="8">
        <f>'Rail Asset Calcs'!$M21*D$454</f>
        <v>0</v>
      </c>
      <c r="E491" s="8">
        <f>'Rail Asset Calcs'!$M21*E$454</f>
        <v>0</v>
      </c>
      <c r="F491" s="8">
        <f>'Rail Asset Calcs'!$M21*F$454</f>
        <v>0</v>
      </c>
      <c r="G491" s="8">
        <f>'Rail Asset Calcs'!$M21*G$454</f>
        <v>0</v>
      </c>
      <c r="H491" s="8">
        <f>'Rail Asset Calcs'!$M21*H$454</f>
        <v>0</v>
      </c>
      <c r="I491" s="8">
        <f>'Rail Asset Calcs'!$M21*I$454</f>
        <v>0</v>
      </c>
    </row>
    <row r="492" spans="2:9" ht="9.75" outlineLevel="1">
      <c r="B492" s="22" t="str">
        <f>rail13</f>
        <v>Route 13</v>
      </c>
      <c r="C492" s="6" t="s">
        <v>85</v>
      </c>
      <c r="D492" s="8">
        <f>'Rail Asset Calcs'!$M22*D$454</f>
        <v>0</v>
      </c>
      <c r="E492" s="8">
        <f>'Rail Asset Calcs'!$M22*E$454</f>
        <v>0</v>
      </c>
      <c r="F492" s="8">
        <f>'Rail Asset Calcs'!$M22*F$454</f>
        <v>0</v>
      </c>
      <c r="G492" s="8">
        <f>'Rail Asset Calcs'!$M22*G$454</f>
        <v>0</v>
      </c>
      <c r="H492" s="8">
        <f>'Rail Asset Calcs'!$M22*H$454</f>
        <v>0</v>
      </c>
      <c r="I492" s="8">
        <f>'Rail Asset Calcs'!$M22*I$454</f>
        <v>0</v>
      </c>
    </row>
    <row r="493" spans="2:9" ht="9.75" outlineLevel="1">
      <c r="B493" s="22" t="str">
        <f>rail14</f>
        <v>Route 14</v>
      </c>
      <c r="C493" s="6" t="s">
        <v>85</v>
      </c>
      <c r="D493" s="8">
        <f>'Rail Asset Calcs'!$M23*D$454</f>
        <v>0</v>
      </c>
      <c r="E493" s="8">
        <f>'Rail Asset Calcs'!$M23*E$454</f>
        <v>0</v>
      </c>
      <c r="F493" s="8">
        <f>'Rail Asset Calcs'!$M23*F$454</f>
        <v>0</v>
      </c>
      <c r="G493" s="8">
        <f>'Rail Asset Calcs'!$M23*G$454</f>
        <v>0</v>
      </c>
      <c r="H493" s="8">
        <f>'Rail Asset Calcs'!$M23*H$454</f>
        <v>0</v>
      </c>
      <c r="I493" s="8">
        <f>'Rail Asset Calcs'!$M23*I$454</f>
        <v>0</v>
      </c>
    </row>
    <row r="494" spans="2:9" ht="9.75" outlineLevel="1">
      <c r="B494" s="22" t="str">
        <f>rail15</f>
        <v>Route 15</v>
      </c>
      <c r="C494" s="6" t="s">
        <v>85</v>
      </c>
      <c r="D494" s="8">
        <f>'Rail Asset Calcs'!$M24*D$454</f>
        <v>0</v>
      </c>
      <c r="E494" s="8">
        <f>'Rail Asset Calcs'!$M24*E$454</f>
        <v>0</v>
      </c>
      <c r="F494" s="8">
        <f>'Rail Asset Calcs'!$M24*F$454</f>
        <v>0</v>
      </c>
      <c r="G494" s="8">
        <f>'Rail Asset Calcs'!$M24*G$454</f>
        <v>0</v>
      </c>
      <c r="H494" s="8">
        <f>'Rail Asset Calcs'!$M24*H$454</f>
        <v>0</v>
      </c>
      <c r="I494" s="8">
        <f>'Rail Asset Calcs'!$M24*I$454</f>
        <v>0</v>
      </c>
    </row>
    <row r="495" spans="2:9" ht="9.75" outlineLevel="1">
      <c r="B495" s="22" t="str">
        <f>rail16</f>
        <v>Route 16</v>
      </c>
      <c r="C495" s="6" t="s">
        <v>85</v>
      </c>
      <c r="D495" s="8">
        <f>'Rail Asset Calcs'!$M25*D$454</f>
        <v>0</v>
      </c>
      <c r="E495" s="8">
        <f>'Rail Asset Calcs'!$M25*E$454</f>
        <v>0</v>
      </c>
      <c r="F495" s="8">
        <f>'Rail Asset Calcs'!$M25*F$454</f>
        <v>0</v>
      </c>
      <c r="G495" s="8">
        <f>'Rail Asset Calcs'!$M25*G$454</f>
        <v>0</v>
      </c>
      <c r="H495" s="8">
        <f>'Rail Asset Calcs'!$M25*H$454</f>
        <v>0</v>
      </c>
      <c r="I495" s="8">
        <f>'Rail Asset Calcs'!$M25*I$454</f>
        <v>0</v>
      </c>
    </row>
    <row r="496" spans="2:9" ht="9.75" outlineLevel="1">
      <c r="B496" s="22" t="str">
        <f>rail17</f>
        <v>Route 17</v>
      </c>
      <c r="C496" s="6" t="s">
        <v>85</v>
      </c>
      <c r="D496" s="8">
        <f>'Rail Asset Calcs'!$M26*D$454</f>
        <v>0</v>
      </c>
      <c r="E496" s="8">
        <f>'Rail Asset Calcs'!$M26*E$454</f>
        <v>0</v>
      </c>
      <c r="F496" s="8">
        <f>'Rail Asset Calcs'!$M26*F$454</f>
        <v>0</v>
      </c>
      <c r="G496" s="8">
        <f>'Rail Asset Calcs'!$M26*G$454</f>
        <v>0</v>
      </c>
      <c r="H496" s="8">
        <f>'Rail Asset Calcs'!$M26*H$454</f>
        <v>0</v>
      </c>
      <c r="I496" s="8">
        <f>'Rail Asset Calcs'!$M26*I$454</f>
        <v>0</v>
      </c>
    </row>
    <row r="497" spans="2:9" ht="9.75" outlineLevel="1">
      <c r="B497" s="22" t="str">
        <f>rail18</f>
        <v>Route 18</v>
      </c>
      <c r="C497" s="6" t="s">
        <v>85</v>
      </c>
      <c r="D497" s="8">
        <f>'Rail Asset Calcs'!$M27*D$454</f>
        <v>0</v>
      </c>
      <c r="E497" s="8">
        <f>'Rail Asset Calcs'!$M27*E$454</f>
        <v>0</v>
      </c>
      <c r="F497" s="8">
        <f>'Rail Asset Calcs'!$M27*F$454</f>
        <v>0</v>
      </c>
      <c r="G497" s="8">
        <f>'Rail Asset Calcs'!$M27*G$454</f>
        <v>0</v>
      </c>
      <c r="H497" s="8">
        <f>'Rail Asset Calcs'!$M27*H$454</f>
        <v>0</v>
      </c>
      <c r="I497" s="8">
        <f>'Rail Asset Calcs'!$M27*I$454</f>
        <v>0</v>
      </c>
    </row>
    <row r="498" spans="2:9" ht="9.75" outlineLevel="1">
      <c r="B498" s="22" t="str">
        <f>rail19</f>
        <v>Route 19</v>
      </c>
      <c r="C498" s="6" t="s">
        <v>85</v>
      </c>
      <c r="D498" s="8">
        <f>'Rail Asset Calcs'!$M28*D$454</f>
        <v>0</v>
      </c>
      <c r="E498" s="8">
        <f>'Rail Asset Calcs'!$M28*E$454</f>
        <v>0</v>
      </c>
      <c r="F498" s="8">
        <f>'Rail Asset Calcs'!$M28*F$454</f>
        <v>0</v>
      </c>
      <c r="G498" s="8">
        <f>'Rail Asset Calcs'!$M28*G$454</f>
        <v>0</v>
      </c>
      <c r="H498" s="8">
        <f>'Rail Asset Calcs'!$M28*H$454</f>
        <v>0</v>
      </c>
      <c r="I498" s="8">
        <f>'Rail Asset Calcs'!$M28*I$454</f>
        <v>0</v>
      </c>
    </row>
    <row r="499" spans="2:9" ht="9.75" outlineLevel="1">
      <c r="B499" s="22" t="str">
        <f>rail20</f>
        <v>Route 20</v>
      </c>
      <c r="C499" s="6" t="s">
        <v>85</v>
      </c>
      <c r="D499" s="8">
        <f>'Rail Asset Calcs'!$M29*D$454</f>
        <v>0</v>
      </c>
      <c r="E499" s="8">
        <f>'Rail Asset Calcs'!$M29*E$454</f>
        <v>0</v>
      </c>
      <c r="F499" s="8">
        <f>'Rail Asset Calcs'!$M29*F$454</f>
        <v>0</v>
      </c>
      <c r="G499" s="8">
        <f>'Rail Asset Calcs'!$M29*G$454</f>
        <v>0</v>
      </c>
      <c r="H499" s="8">
        <f>'Rail Asset Calcs'!$M29*H$454</f>
        <v>0</v>
      </c>
      <c r="I499" s="8">
        <f>'Rail Asset Calcs'!$M29*I$454</f>
        <v>0</v>
      </c>
    </row>
    <row r="500" spans="2:9" ht="9.75" outlineLevel="1">
      <c r="B500" s="1" t="s">
        <v>249</v>
      </c>
      <c r="C500" s="6" t="s">
        <v>85</v>
      </c>
      <c r="D500" s="170">
        <f aca="true" t="shared" si="33" ref="D500:I500">SUM(D480:D499)</f>
        <v>0</v>
      </c>
      <c r="E500" s="170">
        <f t="shared" si="33"/>
        <v>0</v>
      </c>
      <c r="F500" s="170">
        <f t="shared" si="33"/>
        <v>0</v>
      </c>
      <c r="G500" s="170">
        <f t="shared" si="33"/>
        <v>0</v>
      </c>
      <c r="H500" s="170">
        <f t="shared" si="33"/>
        <v>0</v>
      </c>
      <c r="I500" s="170">
        <f t="shared" si="33"/>
        <v>0</v>
      </c>
    </row>
    <row r="501" ht="9.75" outlineLevel="1"/>
    <row r="502" ht="9.75" outlineLevel="1">
      <c r="B502" s="2" t="s">
        <v>279</v>
      </c>
    </row>
    <row r="503" spans="2:9" ht="9.75" outlineLevel="1">
      <c r="B503" s="22" t="str">
        <f>rail1</f>
        <v>Cloudbreak to Port Dumper</v>
      </c>
      <c r="C503" s="6" t="s">
        <v>85</v>
      </c>
      <c r="D503" s="8">
        <f>'Rail Asset Calcs'!$K10*D$454</f>
        <v>0</v>
      </c>
      <c r="E503" s="8">
        <f>'Rail Asset Calcs'!$K10*E$454</f>
        <v>0</v>
      </c>
      <c r="F503" s="8">
        <f>'Rail Asset Calcs'!$K10*F$454</f>
        <v>0</v>
      </c>
      <c r="G503" s="8">
        <f>'Rail Asset Calcs'!$K10*G$454</f>
        <v>0</v>
      </c>
      <c r="H503" s="8">
        <f>'Rail Asset Calcs'!$K10*H$454</f>
        <v>0</v>
      </c>
      <c r="I503" s="8">
        <f>'Rail Asset Calcs'!$K10*I$454</f>
        <v>0</v>
      </c>
    </row>
    <row r="504" spans="2:9" ht="9.75" outlineLevel="1">
      <c r="B504" s="22" t="str">
        <f>rail2</f>
        <v>Route 2</v>
      </c>
      <c r="C504" s="6" t="s">
        <v>85</v>
      </c>
      <c r="D504" s="8">
        <f>'Rail Asset Calcs'!$K11*D$454</f>
        <v>0</v>
      </c>
      <c r="E504" s="8">
        <f>'Rail Asset Calcs'!$K11*E$454</f>
        <v>0</v>
      </c>
      <c r="F504" s="8">
        <f>'Rail Asset Calcs'!$K11*F$454</f>
        <v>0</v>
      </c>
      <c r="G504" s="8">
        <f>'Rail Asset Calcs'!$K11*G$454</f>
        <v>0</v>
      </c>
      <c r="H504" s="8">
        <f>'Rail Asset Calcs'!$K11*H$454</f>
        <v>0</v>
      </c>
      <c r="I504" s="8">
        <f>'Rail Asset Calcs'!$K11*I$454</f>
        <v>0</v>
      </c>
    </row>
    <row r="505" spans="2:9" ht="9.75" outlineLevel="1">
      <c r="B505" s="22" t="str">
        <f>rail3</f>
        <v>Route 3</v>
      </c>
      <c r="C505" s="6" t="s">
        <v>85</v>
      </c>
      <c r="D505" s="8">
        <f>'Rail Asset Calcs'!$K12*D$454</f>
        <v>0</v>
      </c>
      <c r="E505" s="8">
        <f>'Rail Asset Calcs'!$K12*E$454</f>
        <v>0</v>
      </c>
      <c r="F505" s="8">
        <f>'Rail Asset Calcs'!$K12*F$454</f>
        <v>0</v>
      </c>
      <c r="G505" s="8">
        <f>'Rail Asset Calcs'!$K12*G$454</f>
        <v>0</v>
      </c>
      <c r="H505" s="8">
        <f>'Rail Asset Calcs'!$K12*H$454</f>
        <v>0</v>
      </c>
      <c r="I505" s="8">
        <f>'Rail Asset Calcs'!$K12*I$454</f>
        <v>0</v>
      </c>
    </row>
    <row r="506" spans="2:9" ht="9.75" outlineLevel="1">
      <c r="B506" s="22" t="str">
        <f>rail4</f>
        <v>Route 4</v>
      </c>
      <c r="C506" s="6" t="s">
        <v>85</v>
      </c>
      <c r="D506" s="8">
        <f>'Rail Asset Calcs'!$K13*D$454</f>
        <v>0</v>
      </c>
      <c r="E506" s="8">
        <f>'Rail Asset Calcs'!$K13*E$454</f>
        <v>0</v>
      </c>
      <c r="F506" s="8">
        <f>'Rail Asset Calcs'!$K13*F$454</f>
        <v>0</v>
      </c>
      <c r="G506" s="8">
        <f>'Rail Asset Calcs'!$K13*G$454</f>
        <v>0</v>
      </c>
      <c r="H506" s="8">
        <f>'Rail Asset Calcs'!$K13*H$454</f>
        <v>0</v>
      </c>
      <c r="I506" s="8">
        <f>'Rail Asset Calcs'!$K13*I$454</f>
        <v>0</v>
      </c>
    </row>
    <row r="507" spans="2:9" ht="9.75" outlineLevel="1">
      <c r="B507" s="22" t="str">
        <f>rail5</f>
        <v>Route 5</v>
      </c>
      <c r="C507" s="6" t="s">
        <v>85</v>
      </c>
      <c r="D507" s="8">
        <f>'Rail Asset Calcs'!$K14*D$454</f>
        <v>0</v>
      </c>
      <c r="E507" s="8">
        <f>'Rail Asset Calcs'!$K14*E$454</f>
        <v>0</v>
      </c>
      <c r="F507" s="8">
        <f>'Rail Asset Calcs'!$K14*F$454</f>
        <v>0</v>
      </c>
      <c r="G507" s="8">
        <f>'Rail Asset Calcs'!$K14*G$454</f>
        <v>0</v>
      </c>
      <c r="H507" s="8">
        <f>'Rail Asset Calcs'!$K14*H$454</f>
        <v>0</v>
      </c>
      <c r="I507" s="8">
        <f>'Rail Asset Calcs'!$K14*I$454</f>
        <v>0</v>
      </c>
    </row>
    <row r="508" spans="2:9" ht="9.75" outlineLevel="1">
      <c r="B508" s="22" t="str">
        <f>rail6</f>
        <v>Route 6</v>
      </c>
      <c r="C508" s="6" t="s">
        <v>85</v>
      </c>
      <c r="D508" s="8">
        <f>'Rail Asset Calcs'!$K15*D$454</f>
        <v>0</v>
      </c>
      <c r="E508" s="8">
        <f>'Rail Asset Calcs'!$K15*E$454</f>
        <v>0</v>
      </c>
      <c r="F508" s="8">
        <f>'Rail Asset Calcs'!$K15*F$454</f>
        <v>0</v>
      </c>
      <c r="G508" s="8">
        <f>'Rail Asset Calcs'!$K15*G$454</f>
        <v>0</v>
      </c>
      <c r="H508" s="8">
        <f>'Rail Asset Calcs'!$K15*H$454</f>
        <v>0</v>
      </c>
      <c r="I508" s="8">
        <f>'Rail Asset Calcs'!$K15*I$454</f>
        <v>0</v>
      </c>
    </row>
    <row r="509" spans="2:9" ht="9.75" outlineLevel="1">
      <c r="B509" s="22" t="str">
        <f>rail7</f>
        <v>Route 7</v>
      </c>
      <c r="C509" s="6" t="s">
        <v>85</v>
      </c>
      <c r="D509" s="8">
        <f>'Rail Asset Calcs'!$K16*D$454</f>
        <v>0</v>
      </c>
      <c r="E509" s="8">
        <f>'Rail Asset Calcs'!$K16*E$454</f>
        <v>0</v>
      </c>
      <c r="F509" s="8">
        <f>'Rail Asset Calcs'!$K16*F$454</f>
        <v>0</v>
      </c>
      <c r="G509" s="8">
        <f>'Rail Asset Calcs'!$K16*G$454</f>
        <v>0</v>
      </c>
      <c r="H509" s="8">
        <f>'Rail Asset Calcs'!$K16*H$454</f>
        <v>0</v>
      </c>
      <c r="I509" s="8">
        <f>'Rail Asset Calcs'!$K16*I$454</f>
        <v>0</v>
      </c>
    </row>
    <row r="510" spans="2:9" ht="9.75" outlineLevel="1">
      <c r="B510" s="22" t="str">
        <f>rail8</f>
        <v>Route 8</v>
      </c>
      <c r="C510" s="6" t="s">
        <v>85</v>
      </c>
      <c r="D510" s="8">
        <f>'Rail Asset Calcs'!$K17*D$454</f>
        <v>0</v>
      </c>
      <c r="E510" s="8">
        <f>'Rail Asset Calcs'!$K17*E$454</f>
        <v>0</v>
      </c>
      <c r="F510" s="8">
        <f>'Rail Asset Calcs'!$K17*F$454</f>
        <v>0</v>
      </c>
      <c r="G510" s="8">
        <f>'Rail Asset Calcs'!$K17*G$454</f>
        <v>0</v>
      </c>
      <c r="H510" s="8">
        <f>'Rail Asset Calcs'!$K17*H$454</f>
        <v>0</v>
      </c>
      <c r="I510" s="8">
        <f>'Rail Asset Calcs'!$K17*I$454</f>
        <v>0</v>
      </c>
    </row>
    <row r="511" spans="2:9" ht="9.75" outlineLevel="1">
      <c r="B511" s="22" t="str">
        <f>rail9</f>
        <v>Route 9</v>
      </c>
      <c r="C511" s="6" t="s">
        <v>85</v>
      </c>
      <c r="D511" s="8">
        <f>'Rail Asset Calcs'!$K18*D$454</f>
        <v>0</v>
      </c>
      <c r="E511" s="8">
        <f>'Rail Asset Calcs'!$K18*E$454</f>
        <v>0</v>
      </c>
      <c r="F511" s="8">
        <f>'Rail Asset Calcs'!$K18*F$454</f>
        <v>0</v>
      </c>
      <c r="G511" s="8">
        <f>'Rail Asset Calcs'!$K18*G$454</f>
        <v>0</v>
      </c>
      <c r="H511" s="8">
        <f>'Rail Asset Calcs'!$K18*H$454</f>
        <v>0</v>
      </c>
      <c r="I511" s="8">
        <f>'Rail Asset Calcs'!$K18*I$454</f>
        <v>0</v>
      </c>
    </row>
    <row r="512" spans="2:9" ht="9.75" outlineLevel="1">
      <c r="B512" s="22" t="str">
        <f>rail10</f>
        <v>Route 10</v>
      </c>
      <c r="C512" s="6" t="s">
        <v>85</v>
      </c>
      <c r="D512" s="8">
        <f>'Rail Asset Calcs'!$K19*D$454</f>
        <v>0</v>
      </c>
      <c r="E512" s="8">
        <f>'Rail Asset Calcs'!$K19*E$454</f>
        <v>0</v>
      </c>
      <c r="F512" s="8">
        <f>'Rail Asset Calcs'!$K19*F$454</f>
        <v>0</v>
      </c>
      <c r="G512" s="8">
        <f>'Rail Asset Calcs'!$K19*G$454</f>
        <v>0</v>
      </c>
      <c r="H512" s="8">
        <f>'Rail Asset Calcs'!$K19*H$454</f>
        <v>0</v>
      </c>
      <c r="I512" s="8">
        <f>'Rail Asset Calcs'!$K19*I$454</f>
        <v>0</v>
      </c>
    </row>
    <row r="513" spans="2:9" ht="9.75" outlineLevel="1">
      <c r="B513" s="22" t="str">
        <f>rail11</f>
        <v>Route 11</v>
      </c>
      <c r="C513" s="6" t="s">
        <v>85</v>
      </c>
      <c r="D513" s="8">
        <f>'Rail Asset Calcs'!$K20*D$454</f>
        <v>0</v>
      </c>
      <c r="E513" s="8">
        <f>'Rail Asset Calcs'!$K20*E$454</f>
        <v>0</v>
      </c>
      <c r="F513" s="8">
        <f>'Rail Asset Calcs'!$K20*F$454</f>
        <v>0</v>
      </c>
      <c r="G513" s="8">
        <f>'Rail Asset Calcs'!$K20*G$454</f>
        <v>0</v>
      </c>
      <c r="H513" s="8">
        <f>'Rail Asset Calcs'!$K20*H$454</f>
        <v>0</v>
      </c>
      <c r="I513" s="8">
        <f>'Rail Asset Calcs'!$K20*I$454</f>
        <v>0</v>
      </c>
    </row>
    <row r="514" spans="2:9" ht="9.75" outlineLevel="1">
      <c r="B514" s="22" t="str">
        <f>rail12</f>
        <v>Route 12</v>
      </c>
      <c r="C514" s="6" t="s">
        <v>85</v>
      </c>
      <c r="D514" s="8">
        <f>'Rail Asset Calcs'!$K21*D$454</f>
        <v>0</v>
      </c>
      <c r="E514" s="8">
        <f>'Rail Asset Calcs'!$K21*E$454</f>
        <v>0</v>
      </c>
      <c r="F514" s="8">
        <f>'Rail Asset Calcs'!$K21*F$454</f>
        <v>0</v>
      </c>
      <c r="G514" s="8">
        <f>'Rail Asset Calcs'!$K21*G$454</f>
        <v>0</v>
      </c>
      <c r="H514" s="8">
        <f>'Rail Asset Calcs'!$K21*H$454</f>
        <v>0</v>
      </c>
      <c r="I514" s="8">
        <f>'Rail Asset Calcs'!$K21*I$454</f>
        <v>0</v>
      </c>
    </row>
    <row r="515" spans="2:9" ht="9.75" outlineLevel="1">
      <c r="B515" s="22" t="str">
        <f>rail13</f>
        <v>Route 13</v>
      </c>
      <c r="C515" s="6" t="s">
        <v>85</v>
      </c>
      <c r="D515" s="8">
        <f>'Rail Asset Calcs'!$K22*D$454</f>
        <v>0</v>
      </c>
      <c r="E515" s="8">
        <f>'Rail Asset Calcs'!$K22*E$454</f>
        <v>0</v>
      </c>
      <c r="F515" s="8">
        <f>'Rail Asset Calcs'!$K22*F$454</f>
        <v>0</v>
      </c>
      <c r="G515" s="8">
        <f>'Rail Asset Calcs'!$K22*G$454</f>
        <v>0</v>
      </c>
      <c r="H515" s="8">
        <f>'Rail Asset Calcs'!$K22*H$454</f>
        <v>0</v>
      </c>
      <c r="I515" s="8">
        <f>'Rail Asset Calcs'!$K22*I$454</f>
        <v>0</v>
      </c>
    </row>
    <row r="516" spans="2:9" ht="9.75" outlineLevel="1">
      <c r="B516" s="22" t="str">
        <f>rail14</f>
        <v>Route 14</v>
      </c>
      <c r="C516" s="6" t="s">
        <v>85</v>
      </c>
      <c r="D516" s="8">
        <f>'Rail Asset Calcs'!$K23*D$454</f>
        <v>0</v>
      </c>
      <c r="E516" s="8">
        <f>'Rail Asset Calcs'!$K23*E$454</f>
        <v>0</v>
      </c>
      <c r="F516" s="8">
        <f>'Rail Asset Calcs'!$K23*F$454</f>
        <v>0</v>
      </c>
      <c r="G516" s="8">
        <f>'Rail Asset Calcs'!$K23*G$454</f>
        <v>0</v>
      </c>
      <c r="H516" s="8">
        <f>'Rail Asset Calcs'!$K23*H$454</f>
        <v>0</v>
      </c>
      <c r="I516" s="8">
        <f>'Rail Asset Calcs'!$K23*I$454</f>
        <v>0</v>
      </c>
    </row>
    <row r="517" spans="2:9" ht="9.75" outlineLevel="1">
      <c r="B517" s="22" t="str">
        <f>rail15</f>
        <v>Route 15</v>
      </c>
      <c r="C517" s="6" t="s">
        <v>85</v>
      </c>
      <c r="D517" s="8">
        <f>'Rail Asset Calcs'!$K24*D$454</f>
        <v>0</v>
      </c>
      <c r="E517" s="8">
        <f>'Rail Asset Calcs'!$K24*E$454</f>
        <v>0</v>
      </c>
      <c r="F517" s="8">
        <f>'Rail Asset Calcs'!$K24*F$454</f>
        <v>0</v>
      </c>
      <c r="G517" s="8">
        <f>'Rail Asset Calcs'!$K24*G$454</f>
        <v>0</v>
      </c>
      <c r="H517" s="8">
        <f>'Rail Asset Calcs'!$K24*H$454</f>
        <v>0</v>
      </c>
      <c r="I517" s="8">
        <f>'Rail Asset Calcs'!$K24*I$454</f>
        <v>0</v>
      </c>
    </row>
    <row r="518" spans="2:9" ht="9.75" outlineLevel="1">
      <c r="B518" s="22" t="str">
        <f>rail16</f>
        <v>Route 16</v>
      </c>
      <c r="C518" s="6" t="s">
        <v>85</v>
      </c>
      <c r="D518" s="8">
        <f>'Rail Asset Calcs'!$K25*D$454</f>
        <v>0</v>
      </c>
      <c r="E518" s="8">
        <f>'Rail Asset Calcs'!$K25*E$454</f>
        <v>0</v>
      </c>
      <c r="F518" s="8">
        <f>'Rail Asset Calcs'!$K25*F$454</f>
        <v>0</v>
      </c>
      <c r="G518" s="8">
        <f>'Rail Asset Calcs'!$K25*G$454</f>
        <v>0</v>
      </c>
      <c r="H518" s="8">
        <f>'Rail Asset Calcs'!$K25*H$454</f>
        <v>0</v>
      </c>
      <c r="I518" s="8">
        <f>'Rail Asset Calcs'!$K25*I$454</f>
        <v>0</v>
      </c>
    </row>
    <row r="519" spans="2:9" ht="9.75" outlineLevel="1">
      <c r="B519" s="22" t="str">
        <f>rail17</f>
        <v>Route 17</v>
      </c>
      <c r="C519" s="6" t="s">
        <v>85</v>
      </c>
      <c r="D519" s="8">
        <f>'Rail Asset Calcs'!$K26*D$454</f>
        <v>0</v>
      </c>
      <c r="E519" s="8">
        <f>'Rail Asset Calcs'!$K26*E$454</f>
        <v>0</v>
      </c>
      <c r="F519" s="8">
        <f>'Rail Asset Calcs'!$K26*F$454</f>
        <v>0</v>
      </c>
      <c r="G519" s="8">
        <f>'Rail Asset Calcs'!$K26*G$454</f>
        <v>0</v>
      </c>
      <c r="H519" s="8">
        <f>'Rail Asset Calcs'!$K26*H$454</f>
        <v>0</v>
      </c>
      <c r="I519" s="8">
        <f>'Rail Asset Calcs'!$K26*I$454</f>
        <v>0</v>
      </c>
    </row>
    <row r="520" spans="2:9" ht="9.75" outlineLevel="1">
      <c r="B520" s="22" t="str">
        <f>rail18</f>
        <v>Route 18</v>
      </c>
      <c r="C520" s="6" t="s">
        <v>85</v>
      </c>
      <c r="D520" s="8">
        <f>'Rail Asset Calcs'!$K27*D$454</f>
        <v>0</v>
      </c>
      <c r="E520" s="8">
        <f>'Rail Asset Calcs'!$K27*E$454</f>
        <v>0</v>
      </c>
      <c r="F520" s="8">
        <f>'Rail Asset Calcs'!$K27*F$454</f>
        <v>0</v>
      </c>
      <c r="G520" s="8">
        <f>'Rail Asset Calcs'!$K27*G$454</f>
        <v>0</v>
      </c>
      <c r="H520" s="8">
        <f>'Rail Asset Calcs'!$K27*H$454</f>
        <v>0</v>
      </c>
      <c r="I520" s="8">
        <f>'Rail Asset Calcs'!$K27*I$454</f>
        <v>0</v>
      </c>
    </row>
    <row r="521" spans="2:9" ht="9.75" outlineLevel="1">
      <c r="B521" s="22" t="str">
        <f>rail19</f>
        <v>Route 19</v>
      </c>
      <c r="C521" s="6" t="s">
        <v>85</v>
      </c>
      <c r="D521" s="8">
        <f>'Rail Asset Calcs'!$K28*D$454</f>
        <v>0</v>
      </c>
      <c r="E521" s="8">
        <f>'Rail Asset Calcs'!$K28*E$454</f>
        <v>0</v>
      </c>
      <c r="F521" s="8">
        <f>'Rail Asset Calcs'!$K28*F$454</f>
        <v>0</v>
      </c>
      <c r="G521" s="8">
        <f>'Rail Asset Calcs'!$K28*G$454</f>
        <v>0</v>
      </c>
      <c r="H521" s="8">
        <f>'Rail Asset Calcs'!$K28*H$454</f>
        <v>0</v>
      </c>
      <c r="I521" s="8">
        <f>'Rail Asset Calcs'!$K28*I$454</f>
        <v>0</v>
      </c>
    </row>
    <row r="522" spans="2:9" ht="9.75" outlineLevel="1">
      <c r="B522" s="22" t="str">
        <f>rail20</f>
        <v>Route 20</v>
      </c>
      <c r="C522" s="6" t="s">
        <v>85</v>
      </c>
      <c r="D522" s="8">
        <f>'Rail Asset Calcs'!$K29*D$454</f>
        <v>0</v>
      </c>
      <c r="E522" s="8">
        <f>'Rail Asset Calcs'!$K29*E$454</f>
        <v>0</v>
      </c>
      <c r="F522" s="8">
        <f>'Rail Asset Calcs'!$K29*F$454</f>
        <v>0</v>
      </c>
      <c r="G522" s="8">
        <f>'Rail Asset Calcs'!$K29*G$454</f>
        <v>0</v>
      </c>
      <c r="H522" s="8">
        <f>'Rail Asset Calcs'!$K29*H$454</f>
        <v>0</v>
      </c>
      <c r="I522" s="8">
        <f>'Rail Asset Calcs'!$K29*I$454</f>
        <v>0</v>
      </c>
    </row>
    <row r="523" spans="2:9" ht="9.75" outlineLevel="1">
      <c r="B523" s="1" t="s">
        <v>280</v>
      </c>
      <c r="C523" s="6" t="s">
        <v>85</v>
      </c>
      <c r="D523" s="170">
        <f aca="true" t="shared" si="34" ref="D523:I523">SUM(D503:D522)</f>
        <v>0</v>
      </c>
      <c r="E523" s="170">
        <f t="shared" si="34"/>
        <v>0</v>
      </c>
      <c r="F523" s="170">
        <f t="shared" si="34"/>
        <v>0</v>
      </c>
      <c r="G523" s="170">
        <f t="shared" si="34"/>
        <v>0</v>
      </c>
      <c r="H523" s="170">
        <f t="shared" si="34"/>
        <v>0</v>
      </c>
      <c r="I523" s="170">
        <f t="shared" si="34"/>
        <v>0</v>
      </c>
    </row>
    <row r="524" ht="9.75" outlineLevel="1"/>
    <row r="525" spans="2:9" ht="9.75" outlineLevel="1">
      <c r="B525" s="2" t="s">
        <v>243</v>
      </c>
      <c r="C525" s="6" t="s">
        <v>85</v>
      </c>
      <c r="D525" s="30">
        <f aca="true" t="shared" si="35" ref="D525:I525">D477+D500+D523</f>
        <v>0</v>
      </c>
      <c r="E525" s="30">
        <f t="shared" si="35"/>
        <v>0</v>
      </c>
      <c r="F525" s="30">
        <f t="shared" si="35"/>
        <v>0</v>
      </c>
      <c r="G525" s="30">
        <f t="shared" si="35"/>
        <v>0</v>
      </c>
      <c r="H525" s="30">
        <f t="shared" si="35"/>
        <v>0</v>
      </c>
      <c r="I525" s="30">
        <f t="shared" si="35"/>
        <v>0</v>
      </c>
    </row>
    <row r="526" ht="9.75" outlineLevel="1"/>
    <row r="527" spans="1:2" ht="9.75">
      <c r="A527" s="198" t="str">
        <f>HYPERLINK(CONCATENATE(workbookname,"$A$7"),"Top")</f>
        <v>Top</v>
      </c>
      <c r="B527" s="3" t="str">
        <f>Contents!B100</f>
        <v>Capital Expenditure</v>
      </c>
    </row>
    <row r="528" ht="9.75">
      <c r="B528" s="171" t="str">
        <f>Contents!D100</f>
        <v>The different types of capital expenditure allocated towards ceiling costing</v>
      </c>
    </row>
    <row r="529" ht="9.75" outlineLevel="1"/>
    <row r="530" ht="9.75" outlineLevel="1">
      <c r="B530" s="2" t="s">
        <v>244</v>
      </c>
    </row>
    <row r="531" spans="2:9" ht="9.75" outlineLevel="1">
      <c r="B531" s="22" t="str">
        <f>rail1</f>
        <v>Cloudbreak to Port Dumper</v>
      </c>
      <c r="C531" s="6" t="s">
        <v>85</v>
      </c>
      <c r="D531" s="8">
        <f>'Rail Asset Calcs'!F43</f>
        <v>0</v>
      </c>
      <c r="E531" s="8">
        <f>'Rail Asset Calcs'!J43</f>
        <v>0</v>
      </c>
      <c r="F531" s="8">
        <f>'Rail Asset Calcs'!N43</f>
        <v>0</v>
      </c>
      <c r="G531" s="8">
        <f>'Rail Asset Calcs'!R43</f>
        <v>0</v>
      </c>
      <c r="H531" s="8">
        <f>'Rail Asset Calcs'!V43</f>
        <v>0</v>
      </c>
      <c r="I531" s="8">
        <f>'Rail Asset Calcs'!Z43</f>
        <v>0</v>
      </c>
    </row>
    <row r="532" spans="2:9" ht="9.75" outlineLevel="1">
      <c r="B532" s="22" t="str">
        <f>rail2</f>
        <v>Route 2</v>
      </c>
      <c r="C532" s="6" t="s">
        <v>85</v>
      </c>
      <c r="D532" s="8">
        <f>'Rail Asset Calcs'!F44</f>
        <v>0</v>
      </c>
      <c r="E532" s="8">
        <f>'Rail Asset Calcs'!J44</f>
        <v>0</v>
      </c>
      <c r="F532" s="8">
        <f>'Rail Asset Calcs'!N44</f>
        <v>0</v>
      </c>
      <c r="G532" s="8">
        <f>'Rail Asset Calcs'!R44</f>
        <v>0</v>
      </c>
      <c r="H532" s="8">
        <f>'Rail Asset Calcs'!V44</f>
        <v>0</v>
      </c>
      <c r="I532" s="8">
        <f>'Rail Asset Calcs'!Z44</f>
        <v>0</v>
      </c>
    </row>
    <row r="533" spans="2:9" ht="9.75" outlineLevel="1">
      <c r="B533" s="22" t="str">
        <f>rail3</f>
        <v>Route 3</v>
      </c>
      <c r="C533" s="6" t="s">
        <v>85</v>
      </c>
      <c r="D533" s="8">
        <f>'Rail Asset Calcs'!F45</f>
        <v>0</v>
      </c>
      <c r="E533" s="8">
        <f>'Rail Asset Calcs'!J45</f>
        <v>0</v>
      </c>
      <c r="F533" s="8">
        <f>'Rail Asset Calcs'!N45</f>
        <v>0</v>
      </c>
      <c r="G533" s="8">
        <f>'Rail Asset Calcs'!R45</f>
        <v>0</v>
      </c>
      <c r="H533" s="8">
        <f>'Rail Asset Calcs'!V45</f>
        <v>0</v>
      </c>
      <c r="I533" s="8">
        <f>'Rail Asset Calcs'!Z45</f>
        <v>0</v>
      </c>
    </row>
    <row r="534" spans="2:9" ht="9.75" outlineLevel="1">
      <c r="B534" s="22" t="str">
        <f>rail4</f>
        <v>Route 4</v>
      </c>
      <c r="C534" s="6" t="s">
        <v>85</v>
      </c>
      <c r="D534" s="8">
        <f>'Rail Asset Calcs'!F46</f>
        <v>0</v>
      </c>
      <c r="E534" s="8">
        <f>'Rail Asset Calcs'!J46</f>
        <v>0</v>
      </c>
      <c r="F534" s="8">
        <f>'Rail Asset Calcs'!N46</f>
        <v>0</v>
      </c>
      <c r="G534" s="8">
        <f>'Rail Asset Calcs'!R46</f>
        <v>0</v>
      </c>
      <c r="H534" s="8">
        <f>'Rail Asset Calcs'!V46</f>
        <v>0</v>
      </c>
      <c r="I534" s="8">
        <f>'Rail Asset Calcs'!Z46</f>
        <v>0</v>
      </c>
    </row>
    <row r="535" spans="2:9" ht="9.75" outlineLevel="1">
      <c r="B535" s="22" t="str">
        <f>rail5</f>
        <v>Route 5</v>
      </c>
      <c r="C535" s="6" t="s">
        <v>85</v>
      </c>
      <c r="D535" s="8">
        <f>'Rail Asset Calcs'!F47</f>
        <v>0</v>
      </c>
      <c r="E535" s="8">
        <f>'Rail Asset Calcs'!J47</f>
        <v>0</v>
      </c>
      <c r="F535" s="8">
        <f>'Rail Asset Calcs'!N47</f>
        <v>0</v>
      </c>
      <c r="G535" s="8">
        <f>'Rail Asset Calcs'!R47</f>
        <v>0</v>
      </c>
      <c r="H535" s="8">
        <f>'Rail Asset Calcs'!V47</f>
        <v>0</v>
      </c>
      <c r="I535" s="8">
        <f>'Rail Asset Calcs'!Z47</f>
        <v>0</v>
      </c>
    </row>
    <row r="536" spans="2:9" ht="9.75" outlineLevel="1">
      <c r="B536" s="22" t="str">
        <f>rail6</f>
        <v>Route 6</v>
      </c>
      <c r="C536" s="6" t="s">
        <v>85</v>
      </c>
      <c r="D536" s="8">
        <f>'Rail Asset Calcs'!F48</f>
        <v>0</v>
      </c>
      <c r="E536" s="8">
        <f>'Rail Asset Calcs'!J48</f>
        <v>0</v>
      </c>
      <c r="F536" s="8">
        <f>'Rail Asset Calcs'!N48</f>
        <v>0</v>
      </c>
      <c r="G536" s="8">
        <f>'Rail Asset Calcs'!R48</f>
        <v>0</v>
      </c>
      <c r="H536" s="8">
        <f>'Rail Asset Calcs'!V48</f>
        <v>0</v>
      </c>
      <c r="I536" s="8">
        <f>'Rail Asset Calcs'!Z48</f>
        <v>0</v>
      </c>
    </row>
    <row r="537" spans="2:9" ht="9.75" outlineLevel="1">
      <c r="B537" s="22" t="str">
        <f>rail7</f>
        <v>Route 7</v>
      </c>
      <c r="C537" s="6" t="s">
        <v>85</v>
      </c>
      <c r="D537" s="8">
        <f>'Rail Asset Calcs'!F49</f>
        <v>0</v>
      </c>
      <c r="E537" s="8">
        <f>'Rail Asset Calcs'!J49</f>
        <v>0</v>
      </c>
      <c r="F537" s="8">
        <f>'Rail Asset Calcs'!N49</f>
        <v>0</v>
      </c>
      <c r="G537" s="8">
        <f>'Rail Asset Calcs'!R49</f>
        <v>0</v>
      </c>
      <c r="H537" s="8">
        <f>'Rail Asset Calcs'!V49</f>
        <v>0</v>
      </c>
      <c r="I537" s="8">
        <f>'Rail Asset Calcs'!Z49</f>
        <v>0</v>
      </c>
    </row>
    <row r="538" spans="2:9" ht="9.75" outlineLevel="1">
      <c r="B538" s="22" t="str">
        <f>rail8</f>
        <v>Route 8</v>
      </c>
      <c r="C538" s="6" t="s">
        <v>85</v>
      </c>
      <c r="D538" s="8">
        <f>'Rail Asset Calcs'!F50</f>
        <v>0</v>
      </c>
      <c r="E538" s="8">
        <f>'Rail Asset Calcs'!J50</f>
        <v>0</v>
      </c>
      <c r="F538" s="8">
        <f>'Rail Asset Calcs'!N50</f>
        <v>0</v>
      </c>
      <c r="G538" s="8">
        <f>'Rail Asset Calcs'!R50</f>
        <v>0</v>
      </c>
      <c r="H538" s="8">
        <f>'Rail Asset Calcs'!V50</f>
        <v>0</v>
      </c>
      <c r="I538" s="8">
        <f>'Rail Asset Calcs'!Z50</f>
        <v>0</v>
      </c>
    </row>
    <row r="539" spans="2:9" ht="9.75" outlineLevel="1">
      <c r="B539" s="22" t="str">
        <f>rail9</f>
        <v>Route 9</v>
      </c>
      <c r="C539" s="6" t="s">
        <v>85</v>
      </c>
      <c r="D539" s="8">
        <f>'Rail Asset Calcs'!F51</f>
        <v>0</v>
      </c>
      <c r="E539" s="8">
        <f>'Rail Asset Calcs'!J51</f>
        <v>0</v>
      </c>
      <c r="F539" s="8">
        <f>'Rail Asset Calcs'!N51</f>
        <v>0</v>
      </c>
      <c r="G539" s="8">
        <f>'Rail Asset Calcs'!R51</f>
        <v>0</v>
      </c>
      <c r="H539" s="8">
        <f>'Rail Asset Calcs'!V51</f>
        <v>0</v>
      </c>
      <c r="I539" s="8">
        <f>'Rail Asset Calcs'!Z51</f>
        <v>0</v>
      </c>
    </row>
    <row r="540" spans="2:9" ht="9.75" outlineLevel="1">
      <c r="B540" s="22" t="str">
        <f>rail10</f>
        <v>Route 10</v>
      </c>
      <c r="C540" s="6" t="s">
        <v>85</v>
      </c>
      <c r="D540" s="8">
        <f>'Rail Asset Calcs'!F52</f>
        <v>0</v>
      </c>
      <c r="E540" s="8">
        <f>'Rail Asset Calcs'!J52</f>
        <v>0</v>
      </c>
      <c r="F540" s="8">
        <f>'Rail Asset Calcs'!N52</f>
        <v>0</v>
      </c>
      <c r="G540" s="8">
        <f>'Rail Asset Calcs'!R52</f>
        <v>0</v>
      </c>
      <c r="H540" s="8">
        <f>'Rail Asset Calcs'!V52</f>
        <v>0</v>
      </c>
      <c r="I540" s="8">
        <f>'Rail Asset Calcs'!Z52</f>
        <v>0</v>
      </c>
    </row>
    <row r="541" spans="2:9" ht="9.75" outlineLevel="1">
      <c r="B541" s="22" t="str">
        <f>rail11</f>
        <v>Route 11</v>
      </c>
      <c r="C541" s="6" t="s">
        <v>85</v>
      </c>
      <c r="D541" s="8">
        <f>'Rail Asset Calcs'!F53</f>
        <v>0</v>
      </c>
      <c r="E541" s="8">
        <f>'Rail Asset Calcs'!J53</f>
        <v>0</v>
      </c>
      <c r="F541" s="8">
        <f>'Rail Asset Calcs'!N53</f>
        <v>0</v>
      </c>
      <c r="G541" s="8">
        <f>'Rail Asset Calcs'!R53</f>
        <v>0</v>
      </c>
      <c r="H541" s="8">
        <f>'Rail Asset Calcs'!V53</f>
        <v>0</v>
      </c>
      <c r="I541" s="8">
        <f>'Rail Asset Calcs'!Z53</f>
        <v>0</v>
      </c>
    </row>
    <row r="542" spans="2:9" ht="9.75" outlineLevel="1">
      <c r="B542" s="22" t="str">
        <f>rail12</f>
        <v>Route 12</v>
      </c>
      <c r="C542" s="6" t="s">
        <v>85</v>
      </c>
      <c r="D542" s="8">
        <f>'Rail Asset Calcs'!F54</f>
        <v>0</v>
      </c>
      <c r="E542" s="8">
        <f>'Rail Asset Calcs'!J54</f>
        <v>0</v>
      </c>
      <c r="F542" s="8">
        <f>'Rail Asset Calcs'!N54</f>
        <v>0</v>
      </c>
      <c r="G542" s="8">
        <f>'Rail Asset Calcs'!R54</f>
        <v>0</v>
      </c>
      <c r="H542" s="8">
        <f>'Rail Asset Calcs'!V54</f>
        <v>0</v>
      </c>
      <c r="I542" s="8">
        <f>'Rail Asset Calcs'!Z54</f>
        <v>0</v>
      </c>
    </row>
    <row r="543" spans="2:9" ht="9.75" outlineLevel="1">
      <c r="B543" s="22" t="str">
        <f>rail13</f>
        <v>Route 13</v>
      </c>
      <c r="C543" s="6" t="s">
        <v>85</v>
      </c>
      <c r="D543" s="8">
        <f>'Rail Asset Calcs'!F55</f>
        <v>0</v>
      </c>
      <c r="E543" s="8">
        <f>'Rail Asset Calcs'!J55</f>
        <v>0</v>
      </c>
      <c r="F543" s="8">
        <f>'Rail Asset Calcs'!N55</f>
        <v>0</v>
      </c>
      <c r="G543" s="8">
        <f>'Rail Asset Calcs'!R55</f>
        <v>0</v>
      </c>
      <c r="H543" s="8">
        <f>'Rail Asset Calcs'!V55</f>
        <v>0</v>
      </c>
      <c r="I543" s="8">
        <f>'Rail Asset Calcs'!Z55</f>
        <v>0</v>
      </c>
    </row>
    <row r="544" spans="2:9" ht="9.75" outlineLevel="1">
      <c r="B544" s="22" t="str">
        <f>rail14</f>
        <v>Route 14</v>
      </c>
      <c r="C544" s="6" t="s">
        <v>85</v>
      </c>
      <c r="D544" s="8">
        <f>'Rail Asset Calcs'!F56</f>
        <v>0</v>
      </c>
      <c r="E544" s="8">
        <f>'Rail Asset Calcs'!J56</f>
        <v>0</v>
      </c>
      <c r="F544" s="8">
        <f>'Rail Asset Calcs'!N56</f>
        <v>0</v>
      </c>
      <c r="G544" s="8">
        <f>'Rail Asset Calcs'!R56</f>
        <v>0</v>
      </c>
      <c r="H544" s="8">
        <f>'Rail Asset Calcs'!V56</f>
        <v>0</v>
      </c>
      <c r="I544" s="8">
        <f>'Rail Asset Calcs'!Z56</f>
        <v>0</v>
      </c>
    </row>
    <row r="545" spans="2:9" ht="9.75" outlineLevel="1">
      <c r="B545" s="22" t="str">
        <f>rail15</f>
        <v>Route 15</v>
      </c>
      <c r="C545" s="6" t="s">
        <v>85</v>
      </c>
      <c r="D545" s="8">
        <f>'Rail Asset Calcs'!F57</f>
        <v>0</v>
      </c>
      <c r="E545" s="8">
        <f>'Rail Asset Calcs'!J57</f>
        <v>0</v>
      </c>
      <c r="F545" s="8">
        <f>'Rail Asset Calcs'!N57</f>
        <v>0</v>
      </c>
      <c r="G545" s="8">
        <f>'Rail Asset Calcs'!R57</f>
        <v>0</v>
      </c>
      <c r="H545" s="8">
        <f>'Rail Asset Calcs'!V57</f>
        <v>0</v>
      </c>
      <c r="I545" s="8">
        <f>'Rail Asset Calcs'!Z57</f>
        <v>0</v>
      </c>
    </row>
    <row r="546" spans="2:9" ht="9.75" outlineLevel="1">
      <c r="B546" s="22" t="str">
        <f>rail16</f>
        <v>Route 16</v>
      </c>
      <c r="C546" s="6" t="s">
        <v>85</v>
      </c>
      <c r="D546" s="8">
        <f>'Rail Asset Calcs'!F58</f>
        <v>0</v>
      </c>
      <c r="E546" s="8">
        <f>'Rail Asset Calcs'!J58</f>
        <v>0</v>
      </c>
      <c r="F546" s="8">
        <f>'Rail Asset Calcs'!N58</f>
        <v>0</v>
      </c>
      <c r="G546" s="8">
        <f>'Rail Asset Calcs'!R58</f>
        <v>0</v>
      </c>
      <c r="H546" s="8">
        <f>'Rail Asset Calcs'!V58</f>
        <v>0</v>
      </c>
      <c r="I546" s="8">
        <f>'Rail Asset Calcs'!Z58</f>
        <v>0</v>
      </c>
    </row>
    <row r="547" spans="2:9" ht="9.75" outlineLevel="1">
      <c r="B547" s="22" t="str">
        <f>rail17</f>
        <v>Route 17</v>
      </c>
      <c r="C547" s="6" t="s">
        <v>85</v>
      </c>
      <c r="D547" s="8">
        <f>'Rail Asset Calcs'!F59</f>
        <v>0</v>
      </c>
      <c r="E547" s="8">
        <f>'Rail Asset Calcs'!J59</f>
        <v>0</v>
      </c>
      <c r="F547" s="8">
        <f>'Rail Asset Calcs'!N59</f>
        <v>0</v>
      </c>
      <c r="G547" s="8">
        <f>'Rail Asset Calcs'!R59</f>
        <v>0</v>
      </c>
      <c r="H547" s="8">
        <f>'Rail Asset Calcs'!V59</f>
        <v>0</v>
      </c>
      <c r="I547" s="8">
        <f>'Rail Asset Calcs'!Z59</f>
        <v>0</v>
      </c>
    </row>
    <row r="548" spans="2:9" ht="9.75" outlineLevel="1">
      <c r="B548" s="22" t="str">
        <f>rail18</f>
        <v>Route 18</v>
      </c>
      <c r="C548" s="6" t="s">
        <v>85</v>
      </c>
      <c r="D548" s="8">
        <f>'Rail Asset Calcs'!F60</f>
        <v>0</v>
      </c>
      <c r="E548" s="8">
        <f>'Rail Asset Calcs'!J60</f>
        <v>0</v>
      </c>
      <c r="F548" s="8">
        <f>'Rail Asset Calcs'!N60</f>
        <v>0</v>
      </c>
      <c r="G548" s="8">
        <f>'Rail Asset Calcs'!R60</f>
        <v>0</v>
      </c>
      <c r="H548" s="8">
        <f>'Rail Asset Calcs'!V60</f>
        <v>0</v>
      </c>
      <c r="I548" s="8">
        <f>'Rail Asset Calcs'!Z60</f>
        <v>0</v>
      </c>
    </row>
    <row r="549" spans="2:9" ht="9.75" outlineLevel="1">
      <c r="B549" s="22" t="str">
        <f>rail19</f>
        <v>Route 19</v>
      </c>
      <c r="C549" s="6" t="s">
        <v>85</v>
      </c>
      <c r="D549" s="8">
        <f>'Rail Asset Calcs'!F61</f>
        <v>0</v>
      </c>
      <c r="E549" s="8">
        <f>'Rail Asset Calcs'!J61</f>
        <v>0</v>
      </c>
      <c r="F549" s="8">
        <f>'Rail Asset Calcs'!N61</f>
        <v>0</v>
      </c>
      <c r="G549" s="8">
        <f>'Rail Asset Calcs'!R61</f>
        <v>0</v>
      </c>
      <c r="H549" s="8">
        <f>'Rail Asset Calcs'!V61</f>
        <v>0</v>
      </c>
      <c r="I549" s="8">
        <f>'Rail Asset Calcs'!Z61</f>
        <v>0</v>
      </c>
    </row>
    <row r="550" spans="2:9" ht="9.75" outlineLevel="1">
      <c r="B550" s="22" t="str">
        <f>rail20</f>
        <v>Route 20</v>
      </c>
      <c r="C550" s="6" t="s">
        <v>85</v>
      </c>
      <c r="D550" s="8">
        <f>'Rail Asset Calcs'!F62</f>
        <v>0</v>
      </c>
      <c r="E550" s="8">
        <f>'Rail Asset Calcs'!J62</f>
        <v>0</v>
      </c>
      <c r="F550" s="8">
        <f>'Rail Asset Calcs'!N62</f>
        <v>0</v>
      </c>
      <c r="G550" s="8">
        <f>'Rail Asset Calcs'!R62</f>
        <v>0</v>
      </c>
      <c r="H550" s="8">
        <f>'Rail Asset Calcs'!V62</f>
        <v>0</v>
      </c>
      <c r="I550" s="8">
        <f>'Rail Asset Calcs'!Z62</f>
        <v>0</v>
      </c>
    </row>
    <row r="551" spans="2:9" ht="9.75" outlineLevel="1">
      <c r="B551" s="1" t="s">
        <v>248</v>
      </c>
      <c r="C551" s="6" t="s">
        <v>85</v>
      </c>
      <c r="D551" s="170">
        <f aca="true" t="shared" si="36" ref="D551:I551">SUM(D531:D550)</f>
        <v>0</v>
      </c>
      <c r="E551" s="170">
        <f t="shared" si="36"/>
        <v>0</v>
      </c>
      <c r="F551" s="170">
        <f t="shared" si="36"/>
        <v>0</v>
      </c>
      <c r="G551" s="170">
        <f t="shared" si="36"/>
        <v>0</v>
      </c>
      <c r="H551" s="170">
        <f t="shared" si="36"/>
        <v>0</v>
      </c>
      <c r="I551" s="170">
        <f t="shared" si="36"/>
        <v>0</v>
      </c>
    </row>
    <row r="552" ht="9.75" outlineLevel="1"/>
    <row r="553" ht="9.75" outlineLevel="1">
      <c r="B553" s="2" t="s">
        <v>245</v>
      </c>
    </row>
    <row r="554" spans="2:9" ht="9.75" outlineLevel="1">
      <c r="B554" s="22" t="str">
        <f>rail1</f>
        <v>Cloudbreak to Port Dumper</v>
      </c>
      <c r="C554" s="6" t="s">
        <v>85</v>
      </c>
      <c r="D554" s="8">
        <f>'Rail Asset Calcs'!G43</f>
        <v>0</v>
      </c>
      <c r="E554" s="8">
        <f>'Rail Asset Calcs'!K43</f>
        <v>0</v>
      </c>
      <c r="F554" s="8">
        <f>'Rail Asset Calcs'!O43</f>
        <v>0</v>
      </c>
      <c r="G554" s="8">
        <f>'Rail Asset Calcs'!S43</f>
        <v>0</v>
      </c>
      <c r="H554" s="8">
        <f>'Rail Asset Calcs'!W43</f>
        <v>0</v>
      </c>
      <c r="I554" s="8">
        <f>'Rail Asset Calcs'!AA43</f>
        <v>0</v>
      </c>
    </row>
    <row r="555" spans="2:9" ht="9.75" outlineLevel="1">
      <c r="B555" s="22" t="str">
        <f>rail2</f>
        <v>Route 2</v>
      </c>
      <c r="C555" s="6" t="s">
        <v>85</v>
      </c>
      <c r="D555" s="8">
        <f>'Rail Asset Calcs'!G44</f>
        <v>0</v>
      </c>
      <c r="E555" s="8">
        <f>'Rail Asset Calcs'!K44</f>
        <v>0</v>
      </c>
      <c r="F555" s="8">
        <f>'Rail Asset Calcs'!O44</f>
        <v>0</v>
      </c>
      <c r="G555" s="8">
        <f>'Rail Asset Calcs'!S44</f>
        <v>0</v>
      </c>
      <c r="H555" s="8">
        <f>'Rail Asset Calcs'!W44</f>
        <v>0</v>
      </c>
      <c r="I555" s="8">
        <f>'Rail Asset Calcs'!AA44</f>
        <v>0</v>
      </c>
    </row>
    <row r="556" spans="2:9" ht="9.75" outlineLevel="1">
      <c r="B556" s="22" t="str">
        <f>rail3</f>
        <v>Route 3</v>
      </c>
      <c r="C556" s="6" t="s">
        <v>85</v>
      </c>
      <c r="D556" s="8">
        <f>'Rail Asset Calcs'!G45</f>
        <v>0</v>
      </c>
      <c r="E556" s="8">
        <f>'Rail Asset Calcs'!K45</f>
        <v>0</v>
      </c>
      <c r="F556" s="8">
        <f>'Rail Asset Calcs'!O45</f>
        <v>0</v>
      </c>
      <c r="G556" s="8">
        <f>'Rail Asset Calcs'!S45</f>
        <v>0</v>
      </c>
      <c r="H556" s="8">
        <f>'Rail Asset Calcs'!W45</f>
        <v>0</v>
      </c>
      <c r="I556" s="8">
        <f>'Rail Asset Calcs'!AA45</f>
        <v>0</v>
      </c>
    </row>
    <row r="557" spans="2:9" ht="9.75" outlineLevel="1">
      <c r="B557" s="22" t="str">
        <f>rail4</f>
        <v>Route 4</v>
      </c>
      <c r="C557" s="6" t="s">
        <v>85</v>
      </c>
      <c r="D557" s="8">
        <f>'Rail Asset Calcs'!G46</f>
        <v>0</v>
      </c>
      <c r="E557" s="8">
        <f>'Rail Asset Calcs'!K46</f>
        <v>0</v>
      </c>
      <c r="F557" s="8">
        <f>'Rail Asset Calcs'!O46</f>
        <v>0</v>
      </c>
      <c r="G557" s="8">
        <f>'Rail Asset Calcs'!S46</f>
        <v>0</v>
      </c>
      <c r="H557" s="8">
        <f>'Rail Asset Calcs'!W46</f>
        <v>0</v>
      </c>
      <c r="I557" s="8">
        <f>'Rail Asset Calcs'!AA46</f>
        <v>0</v>
      </c>
    </row>
    <row r="558" spans="2:9" ht="9.75" outlineLevel="1">
      <c r="B558" s="22" t="str">
        <f>rail5</f>
        <v>Route 5</v>
      </c>
      <c r="C558" s="6" t="s">
        <v>85</v>
      </c>
      <c r="D558" s="8">
        <f>'Rail Asset Calcs'!G47</f>
        <v>0</v>
      </c>
      <c r="E558" s="8">
        <f>'Rail Asset Calcs'!K47</f>
        <v>0</v>
      </c>
      <c r="F558" s="8">
        <f>'Rail Asset Calcs'!O47</f>
        <v>0</v>
      </c>
      <c r="G558" s="8">
        <f>'Rail Asset Calcs'!S47</f>
        <v>0</v>
      </c>
      <c r="H558" s="8">
        <f>'Rail Asset Calcs'!W47</f>
        <v>0</v>
      </c>
      <c r="I558" s="8">
        <f>'Rail Asset Calcs'!AA47</f>
        <v>0</v>
      </c>
    </row>
    <row r="559" spans="2:9" ht="9.75" outlineLevel="1">
      <c r="B559" s="22" t="str">
        <f>rail6</f>
        <v>Route 6</v>
      </c>
      <c r="C559" s="6" t="s">
        <v>85</v>
      </c>
      <c r="D559" s="8">
        <f>'Rail Asset Calcs'!G48</f>
        <v>0</v>
      </c>
      <c r="E559" s="8">
        <f>'Rail Asset Calcs'!K48</f>
        <v>0</v>
      </c>
      <c r="F559" s="8">
        <f>'Rail Asset Calcs'!O48</f>
        <v>0</v>
      </c>
      <c r="G559" s="8">
        <f>'Rail Asset Calcs'!S48</f>
        <v>0</v>
      </c>
      <c r="H559" s="8">
        <f>'Rail Asset Calcs'!W48</f>
        <v>0</v>
      </c>
      <c r="I559" s="8">
        <f>'Rail Asset Calcs'!AA48</f>
        <v>0</v>
      </c>
    </row>
    <row r="560" spans="2:9" ht="9.75" outlineLevel="1">
      <c r="B560" s="22" t="str">
        <f>rail7</f>
        <v>Route 7</v>
      </c>
      <c r="C560" s="6" t="s">
        <v>85</v>
      </c>
      <c r="D560" s="8">
        <f>'Rail Asset Calcs'!G49</f>
        <v>0</v>
      </c>
      <c r="E560" s="8">
        <f>'Rail Asset Calcs'!K49</f>
        <v>0</v>
      </c>
      <c r="F560" s="8">
        <f>'Rail Asset Calcs'!O49</f>
        <v>0</v>
      </c>
      <c r="G560" s="8">
        <f>'Rail Asset Calcs'!S49</f>
        <v>0</v>
      </c>
      <c r="H560" s="8">
        <f>'Rail Asset Calcs'!W49</f>
        <v>0</v>
      </c>
      <c r="I560" s="8">
        <f>'Rail Asset Calcs'!AA49</f>
        <v>0</v>
      </c>
    </row>
    <row r="561" spans="2:9" ht="9.75" outlineLevel="1">
      <c r="B561" s="22" t="str">
        <f>rail8</f>
        <v>Route 8</v>
      </c>
      <c r="C561" s="6" t="s">
        <v>85</v>
      </c>
      <c r="D561" s="8">
        <f>'Rail Asset Calcs'!G50</f>
        <v>0</v>
      </c>
      <c r="E561" s="8">
        <f>'Rail Asset Calcs'!K50</f>
        <v>0</v>
      </c>
      <c r="F561" s="8">
        <f>'Rail Asset Calcs'!O50</f>
        <v>0</v>
      </c>
      <c r="G561" s="8">
        <f>'Rail Asset Calcs'!S50</f>
        <v>0</v>
      </c>
      <c r="H561" s="8">
        <f>'Rail Asset Calcs'!W50</f>
        <v>0</v>
      </c>
      <c r="I561" s="8">
        <f>'Rail Asset Calcs'!AA50</f>
        <v>0</v>
      </c>
    </row>
    <row r="562" spans="2:9" ht="9.75" outlineLevel="1">
      <c r="B562" s="22" t="str">
        <f>rail9</f>
        <v>Route 9</v>
      </c>
      <c r="C562" s="6" t="s">
        <v>85</v>
      </c>
      <c r="D562" s="8">
        <f>'Rail Asset Calcs'!G51</f>
        <v>0</v>
      </c>
      <c r="E562" s="8">
        <f>'Rail Asset Calcs'!K51</f>
        <v>0</v>
      </c>
      <c r="F562" s="8">
        <f>'Rail Asset Calcs'!O51</f>
        <v>0</v>
      </c>
      <c r="G562" s="8">
        <f>'Rail Asset Calcs'!S51</f>
        <v>0</v>
      </c>
      <c r="H562" s="8">
        <f>'Rail Asset Calcs'!W51</f>
        <v>0</v>
      </c>
      <c r="I562" s="8">
        <f>'Rail Asset Calcs'!AA51</f>
        <v>0</v>
      </c>
    </row>
    <row r="563" spans="2:9" ht="9.75" outlineLevel="1">
      <c r="B563" s="22" t="str">
        <f>rail10</f>
        <v>Route 10</v>
      </c>
      <c r="C563" s="6" t="s">
        <v>85</v>
      </c>
      <c r="D563" s="8">
        <f>'Rail Asset Calcs'!G52</f>
        <v>0</v>
      </c>
      <c r="E563" s="8">
        <f>'Rail Asset Calcs'!K52</f>
        <v>0</v>
      </c>
      <c r="F563" s="8">
        <f>'Rail Asset Calcs'!O52</f>
        <v>0</v>
      </c>
      <c r="G563" s="8">
        <f>'Rail Asset Calcs'!S52</f>
        <v>0</v>
      </c>
      <c r="H563" s="8">
        <f>'Rail Asset Calcs'!W52</f>
        <v>0</v>
      </c>
      <c r="I563" s="8">
        <f>'Rail Asset Calcs'!AA52</f>
        <v>0</v>
      </c>
    </row>
    <row r="564" spans="2:9" ht="9.75" outlineLevel="1">
      <c r="B564" s="22" t="str">
        <f>rail11</f>
        <v>Route 11</v>
      </c>
      <c r="C564" s="6" t="s">
        <v>85</v>
      </c>
      <c r="D564" s="8">
        <f>'Rail Asset Calcs'!G53</f>
        <v>0</v>
      </c>
      <c r="E564" s="8">
        <f>'Rail Asset Calcs'!K53</f>
        <v>0</v>
      </c>
      <c r="F564" s="8">
        <f>'Rail Asset Calcs'!O53</f>
        <v>0</v>
      </c>
      <c r="G564" s="8">
        <f>'Rail Asset Calcs'!S53</f>
        <v>0</v>
      </c>
      <c r="H564" s="8">
        <f>'Rail Asset Calcs'!W53</f>
        <v>0</v>
      </c>
      <c r="I564" s="8">
        <f>'Rail Asset Calcs'!AA53</f>
        <v>0</v>
      </c>
    </row>
    <row r="565" spans="2:9" ht="9.75" outlineLevel="1">
      <c r="B565" s="22" t="str">
        <f>rail12</f>
        <v>Route 12</v>
      </c>
      <c r="C565" s="6" t="s">
        <v>85</v>
      </c>
      <c r="D565" s="8">
        <f>'Rail Asset Calcs'!G54</f>
        <v>0</v>
      </c>
      <c r="E565" s="8">
        <f>'Rail Asset Calcs'!K54</f>
        <v>0</v>
      </c>
      <c r="F565" s="8">
        <f>'Rail Asset Calcs'!O54</f>
        <v>0</v>
      </c>
      <c r="G565" s="8">
        <f>'Rail Asset Calcs'!S54</f>
        <v>0</v>
      </c>
      <c r="H565" s="8">
        <f>'Rail Asset Calcs'!W54</f>
        <v>0</v>
      </c>
      <c r="I565" s="8">
        <f>'Rail Asset Calcs'!AA54</f>
        <v>0</v>
      </c>
    </row>
    <row r="566" spans="2:9" ht="9.75" outlineLevel="1">
      <c r="B566" s="22" t="str">
        <f>rail13</f>
        <v>Route 13</v>
      </c>
      <c r="C566" s="6" t="s">
        <v>85</v>
      </c>
      <c r="D566" s="8">
        <f>'Rail Asset Calcs'!G55</f>
        <v>0</v>
      </c>
      <c r="E566" s="8">
        <f>'Rail Asset Calcs'!K55</f>
        <v>0</v>
      </c>
      <c r="F566" s="8">
        <f>'Rail Asset Calcs'!O55</f>
        <v>0</v>
      </c>
      <c r="G566" s="8">
        <f>'Rail Asset Calcs'!S55</f>
        <v>0</v>
      </c>
      <c r="H566" s="8">
        <f>'Rail Asset Calcs'!W55</f>
        <v>0</v>
      </c>
      <c r="I566" s="8">
        <f>'Rail Asset Calcs'!AA55</f>
        <v>0</v>
      </c>
    </row>
    <row r="567" spans="2:9" ht="9.75" outlineLevel="1">
      <c r="B567" s="22" t="str">
        <f>rail14</f>
        <v>Route 14</v>
      </c>
      <c r="C567" s="6" t="s">
        <v>85</v>
      </c>
      <c r="D567" s="8">
        <f>'Rail Asset Calcs'!G56</f>
        <v>0</v>
      </c>
      <c r="E567" s="8">
        <f>'Rail Asset Calcs'!K56</f>
        <v>0</v>
      </c>
      <c r="F567" s="8">
        <f>'Rail Asset Calcs'!O56</f>
        <v>0</v>
      </c>
      <c r="G567" s="8">
        <f>'Rail Asset Calcs'!S56</f>
        <v>0</v>
      </c>
      <c r="H567" s="8">
        <f>'Rail Asset Calcs'!W56</f>
        <v>0</v>
      </c>
      <c r="I567" s="8">
        <f>'Rail Asset Calcs'!AA56</f>
        <v>0</v>
      </c>
    </row>
    <row r="568" spans="2:9" ht="9.75" outlineLevel="1">
      <c r="B568" s="22" t="str">
        <f>rail15</f>
        <v>Route 15</v>
      </c>
      <c r="C568" s="6" t="s">
        <v>85</v>
      </c>
      <c r="D568" s="8">
        <f>'Rail Asset Calcs'!G57</f>
        <v>0</v>
      </c>
      <c r="E568" s="8">
        <f>'Rail Asset Calcs'!K57</f>
        <v>0</v>
      </c>
      <c r="F568" s="8">
        <f>'Rail Asset Calcs'!O57</f>
        <v>0</v>
      </c>
      <c r="G568" s="8">
        <f>'Rail Asset Calcs'!S57</f>
        <v>0</v>
      </c>
      <c r="H568" s="8">
        <f>'Rail Asset Calcs'!W57</f>
        <v>0</v>
      </c>
      <c r="I568" s="8">
        <f>'Rail Asset Calcs'!AA57</f>
        <v>0</v>
      </c>
    </row>
    <row r="569" spans="2:9" ht="9.75" outlineLevel="1">
      <c r="B569" s="22" t="str">
        <f>rail16</f>
        <v>Route 16</v>
      </c>
      <c r="C569" s="6" t="s">
        <v>85</v>
      </c>
      <c r="D569" s="8">
        <f>'Rail Asset Calcs'!G58</f>
        <v>0</v>
      </c>
      <c r="E569" s="8">
        <f>'Rail Asset Calcs'!K58</f>
        <v>0</v>
      </c>
      <c r="F569" s="8">
        <f>'Rail Asset Calcs'!O58</f>
        <v>0</v>
      </c>
      <c r="G569" s="8">
        <f>'Rail Asset Calcs'!S58</f>
        <v>0</v>
      </c>
      <c r="H569" s="8">
        <f>'Rail Asset Calcs'!W58</f>
        <v>0</v>
      </c>
      <c r="I569" s="8">
        <f>'Rail Asset Calcs'!AA58</f>
        <v>0</v>
      </c>
    </row>
    <row r="570" spans="2:9" ht="9.75" outlineLevel="1">
      <c r="B570" s="22" t="str">
        <f>rail17</f>
        <v>Route 17</v>
      </c>
      <c r="C570" s="6" t="s">
        <v>85</v>
      </c>
      <c r="D570" s="8">
        <f>'Rail Asset Calcs'!G59</f>
        <v>0</v>
      </c>
      <c r="E570" s="8">
        <f>'Rail Asset Calcs'!K59</f>
        <v>0</v>
      </c>
      <c r="F570" s="8">
        <f>'Rail Asset Calcs'!O59</f>
        <v>0</v>
      </c>
      <c r="G570" s="8">
        <f>'Rail Asset Calcs'!S59</f>
        <v>0</v>
      </c>
      <c r="H570" s="8">
        <f>'Rail Asset Calcs'!W59</f>
        <v>0</v>
      </c>
      <c r="I570" s="8">
        <f>'Rail Asset Calcs'!AA59</f>
        <v>0</v>
      </c>
    </row>
    <row r="571" spans="2:9" ht="9.75" outlineLevel="1">
      <c r="B571" s="22" t="str">
        <f>rail18</f>
        <v>Route 18</v>
      </c>
      <c r="C571" s="6" t="s">
        <v>85</v>
      </c>
      <c r="D571" s="8">
        <f>'Rail Asset Calcs'!G60</f>
        <v>0</v>
      </c>
      <c r="E571" s="8">
        <f>'Rail Asset Calcs'!K60</f>
        <v>0</v>
      </c>
      <c r="F571" s="8">
        <f>'Rail Asset Calcs'!O60</f>
        <v>0</v>
      </c>
      <c r="G571" s="8">
        <f>'Rail Asset Calcs'!S60</f>
        <v>0</v>
      </c>
      <c r="H571" s="8">
        <f>'Rail Asset Calcs'!W60</f>
        <v>0</v>
      </c>
      <c r="I571" s="8">
        <f>'Rail Asset Calcs'!AA60</f>
        <v>0</v>
      </c>
    </row>
    <row r="572" spans="2:9" ht="9.75" outlineLevel="1">
      <c r="B572" s="22" t="str">
        <f>rail19</f>
        <v>Route 19</v>
      </c>
      <c r="C572" s="6" t="s">
        <v>85</v>
      </c>
      <c r="D572" s="8">
        <f>'Rail Asset Calcs'!G61</f>
        <v>0</v>
      </c>
      <c r="E572" s="8">
        <f>'Rail Asset Calcs'!K61</f>
        <v>0</v>
      </c>
      <c r="F572" s="8">
        <f>'Rail Asset Calcs'!O61</f>
        <v>0</v>
      </c>
      <c r="G572" s="8">
        <f>'Rail Asset Calcs'!S61</f>
        <v>0</v>
      </c>
      <c r="H572" s="8">
        <f>'Rail Asset Calcs'!W61</f>
        <v>0</v>
      </c>
      <c r="I572" s="8">
        <f>'Rail Asset Calcs'!AA61</f>
        <v>0</v>
      </c>
    </row>
    <row r="573" spans="2:9" ht="9.75" outlineLevel="1">
      <c r="B573" s="22" t="str">
        <f>rail20</f>
        <v>Route 20</v>
      </c>
      <c r="C573" s="6" t="s">
        <v>85</v>
      </c>
      <c r="D573" s="8">
        <f>'Rail Asset Calcs'!G62</f>
        <v>0</v>
      </c>
      <c r="E573" s="8">
        <f>'Rail Asset Calcs'!K62</f>
        <v>0</v>
      </c>
      <c r="F573" s="8">
        <f>'Rail Asset Calcs'!O62</f>
        <v>0</v>
      </c>
      <c r="G573" s="8">
        <f>'Rail Asset Calcs'!S62</f>
        <v>0</v>
      </c>
      <c r="H573" s="8">
        <f>'Rail Asset Calcs'!W62</f>
        <v>0</v>
      </c>
      <c r="I573" s="8">
        <f>'Rail Asset Calcs'!AA62</f>
        <v>0</v>
      </c>
    </row>
    <row r="574" spans="2:9" ht="9.75" outlineLevel="1">
      <c r="B574" s="1" t="s">
        <v>247</v>
      </c>
      <c r="C574" s="6" t="s">
        <v>85</v>
      </c>
      <c r="D574" s="170">
        <f aca="true" t="shared" si="37" ref="D574:I574">SUM(D554:D573)</f>
        <v>0</v>
      </c>
      <c r="E574" s="170">
        <f t="shared" si="37"/>
        <v>0</v>
      </c>
      <c r="F574" s="170">
        <f t="shared" si="37"/>
        <v>0</v>
      </c>
      <c r="G574" s="170">
        <f t="shared" si="37"/>
        <v>0</v>
      </c>
      <c r="H574" s="170">
        <f t="shared" si="37"/>
        <v>0</v>
      </c>
      <c r="I574" s="170">
        <f t="shared" si="37"/>
        <v>0</v>
      </c>
    </row>
    <row r="575" ht="9.75" outlineLevel="1"/>
    <row r="576" ht="9.75" outlineLevel="1">
      <c r="B576" s="2" t="s">
        <v>281</v>
      </c>
    </row>
    <row r="577" spans="2:9" ht="9.75" outlineLevel="1">
      <c r="B577" s="22" t="str">
        <f>rail1</f>
        <v>Cloudbreak to Port Dumper</v>
      </c>
      <c r="C577" s="6" t="s">
        <v>85</v>
      </c>
      <c r="D577" s="8">
        <f>'Rail Asset Calcs'!E43</f>
        <v>3996861.3409255287</v>
      </c>
      <c r="E577" s="8">
        <f>'Rail Asset Calcs'!I43</f>
        <v>17536122.984612033</v>
      </c>
      <c r="F577" s="8">
        <f>'Rail Asset Calcs'!M43</f>
        <v>17536122.984612033</v>
      </c>
      <c r="G577" s="8">
        <f>'Rail Asset Calcs'!Q43</f>
        <v>17536122.984612033</v>
      </c>
      <c r="H577" s="8">
        <f>'Rail Asset Calcs'!U43</f>
        <v>17536122.984612033</v>
      </c>
      <c r="I577" s="8">
        <f>'Rail Asset Calcs'!Y43</f>
        <v>17536122.984612033</v>
      </c>
    </row>
    <row r="578" spans="2:9" ht="9.75" outlineLevel="1">
      <c r="B578" s="22" t="str">
        <f>rail2</f>
        <v>Route 2</v>
      </c>
      <c r="C578" s="6" t="s">
        <v>85</v>
      </c>
      <c r="D578" s="8">
        <f>'Rail Asset Calcs'!E44</f>
        <v>0</v>
      </c>
      <c r="E578" s="8">
        <f>'Rail Asset Calcs'!I44</f>
        <v>0</v>
      </c>
      <c r="F578" s="8">
        <f>'Rail Asset Calcs'!M44</f>
        <v>0</v>
      </c>
      <c r="G578" s="8">
        <f>'Rail Asset Calcs'!Q44</f>
        <v>0</v>
      </c>
      <c r="H578" s="8">
        <f>'Rail Asset Calcs'!U44</f>
        <v>0</v>
      </c>
      <c r="I578" s="8">
        <f>'Rail Asset Calcs'!Y44</f>
        <v>0</v>
      </c>
    </row>
    <row r="579" spans="2:9" ht="9.75" outlineLevel="1">
      <c r="B579" s="22" t="str">
        <f>rail3</f>
        <v>Route 3</v>
      </c>
      <c r="C579" s="6" t="s">
        <v>85</v>
      </c>
      <c r="D579" s="8">
        <f>'Rail Asset Calcs'!E45</f>
        <v>0</v>
      </c>
      <c r="E579" s="8">
        <f>'Rail Asset Calcs'!I45</f>
        <v>0</v>
      </c>
      <c r="F579" s="8">
        <f>'Rail Asset Calcs'!M45</f>
        <v>0</v>
      </c>
      <c r="G579" s="8">
        <f>'Rail Asset Calcs'!Q45</f>
        <v>0</v>
      </c>
      <c r="H579" s="8">
        <f>'Rail Asset Calcs'!U45</f>
        <v>0</v>
      </c>
      <c r="I579" s="8">
        <f>'Rail Asset Calcs'!Y45</f>
        <v>0</v>
      </c>
    </row>
    <row r="580" spans="2:9" ht="9.75" outlineLevel="1">
      <c r="B580" s="22" t="str">
        <f>rail4</f>
        <v>Route 4</v>
      </c>
      <c r="C580" s="6" t="s">
        <v>85</v>
      </c>
      <c r="D580" s="8">
        <f>'Rail Asset Calcs'!E46</f>
        <v>0</v>
      </c>
      <c r="E580" s="8">
        <f>'Rail Asset Calcs'!I46</f>
        <v>0</v>
      </c>
      <c r="F580" s="8">
        <f>'Rail Asset Calcs'!M46</f>
        <v>0</v>
      </c>
      <c r="G580" s="8">
        <f>'Rail Asset Calcs'!Q46</f>
        <v>0</v>
      </c>
      <c r="H580" s="8">
        <f>'Rail Asset Calcs'!U46</f>
        <v>0</v>
      </c>
      <c r="I580" s="8">
        <f>'Rail Asset Calcs'!Y46</f>
        <v>0</v>
      </c>
    </row>
    <row r="581" spans="2:9" ht="9.75" outlineLevel="1">
      <c r="B581" s="22" t="str">
        <f>rail5</f>
        <v>Route 5</v>
      </c>
      <c r="C581" s="6" t="s">
        <v>85</v>
      </c>
      <c r="D581" s="8">
        <f>'Rail Asset Calcs'!E47</f>
        <v>0</v>
      </c>
      <c r="E581" s="8">
        <f>'Rail Asset Calcs'!I47</f>
        <v>0</v>
      </c>
      <c r="F581" s="8">
        <f>'Rail Asset Calcs'!M47</f>
        <v>0</v>
      </c>
      <c r="G581" s="8">
        <f>'Rail Asset Calcs'!Q47</f>
        <v>0</v>
      </c>
      <c r="H581" s="8">
        <f>'Rail Asset Calcs'!U47</f>
        <v>0</v>
      </c>
      <c r="I581" s="8">
        <f>'Rail Asset Calcs'!Y47</f>
        <v>0</v>
      </c>
    </row>
    <row r="582" spans="2:9" ht="9.75" outlineLevel="1">
      <c r="B582" s="22" t="str">
        <f>rail6</f>
        <v>Route 6</v>
      </c>
      <c r="C582" s="6" t="s">
        <v>85</v>
      </c>
      <c r="D582" s="8">
        <f>'Rail Asset Calcs'!E48</f>
        <v>0</v>
      </c>
      <c r="E582" s="8">
        <f>'Rail Asset Calcs'!I48</f>
        <v>0</v>
      </c>
      <c r="F582" s="8">
        <f>'Rail Asset Calcs'!M48</f>
        <v>0</v>
      </c>
      <c r="G582" s="8">
        <f>'Rail Asset Calcs'!Q48</f>
        <v>0</v>
      </c>
      <c r="H582" s="8">
        <f>'Rail Asset Calcs'!U48</f>
        <v>0</v>
      </c>
      <c r="I582" s="8">
        <f>'Rail Asset Calcs'!Y48</f>
        <v>0</v>
      </c>
    </row>
    <row r="583" spans="2:9" ht="9.75" outlineLevel="1">
      <c r="B583" s="22" t="str">
        <f>rail7</f>
        <v>Route 7</v>
      </c>
      <c r="C583" s="6" t="s">
        <v>85</v>
      </c>
      <c r="D583" s="8">
        <f>'Rail Asset Calcs'!E49</f>
        <v>0</v>
      </c>
      <c r="E583" s="8">
        <f>'Rail Asset Calcs'!I49</f>
        <v>0</v>
      </c>
      <c r="F583" s="8">
        <f>'Rail Asset Calcs'!M49</f>
        <v>0</v>
      </c>
      <c r="G583" s="8">
        <f>'Rail Asset Calcs'!Q49</f>
        <v>0</v>
      </c>
      <c r="H583" s="8">
        <f>'Rail Asset Calcs'!U49</f>
        <v>0</v>
      </c>
      <c r="I583" s="8">
        <f>'Rail Asset Calcs'!Y49</f>
        <v>0</v>
      </c>
    </row>
    <row r="584" spans="2:9" ht="9.75" outlineLevel="1">
      <c r="B584" s="22" t="str">
        <f>rail8</f>
        <v>Route 8</v>
      </c>
      <c r="C584" s="6" t="s">
        <v>85</v>
      </c>
      <c r="D584" s="8">
        <f>'Rail Asset Calcs'!E50</f>
        <v>0</v>
      </c>
      <c r="E584" s="8">
        <f>'Rail Asset Calcs'!I50</f>
        <v>0</v>
      </c>
      <c r="F584" s="8">
        <f>'Rail Asset Calcs'!M50</f>
        <v>0</v>
      </c>
      <c r="G584" s="8">
        <f>'Rail Asset Calcs'!Q50</f>
        <v>0</v>
      </c>
      <c r="H584" s="8">
        <f>'Rail Asset Calcs'!U50</f>
        <v>0</v>
      </c>
      <c r="I584" s="8">
        <f>'Rail Asset Calcs'!Y50</f>
        <v>0</v>
      </c>
    </row>
    <row r="585" spans="2:9" ht="9.75" outlineLevel="1">
      <c r="B585" s="22" t="str">
        <f>rail9</f>
        <v>Route 9</v>
      </c>
      <c r="C585" s="6" t="s">
        <v>85</v>
      </c>
      <c r="D585" s="8">
        <f>'Rail Asset Calcs'!E51</f>
        <v>0</v>
      </c>
      <c r="E585" s="8">
        <f>'Rail Asset Calcs'!I51</f>
        <v>0</v>
      </c>
      <c r="F585" s="8">
        <f>'Rail Asset Calcs'!M51</f>
        <v>0</v>
      </c>
      <c r="G585" s="8">
        <f>'Rail Asset Calcs'!Q51</f>
        <v>0</v>
      </c>
      <c r="H585" s="8">
        <f>'Rail Asset Calcs'!U51</f>
        <v>0</v>
      </c>
      <c r="I585" s="8">
        <f>'Rail Asset Calcs'!Y51</f>
        <v>0</v>
      </c>
    </row>
    <row r="586" spans="2:9" ht="9.75" outlineLevel="1">
      <c r="B586" s="22" t="str">
        <f>rail10</f>
        <v>Route 10</v>
      </c>
      <c r="C586" s="6" t="s">
        <v>85</v>
      </c>
      <c r="D586" s="8">
        <f>'Rail Asset Calcs'!E52</f>
        <v>0</v>
      </c>
      <c r="E586" s="8">
        <f>'Rail Asset Calcs'!I52</f>
        <v>0</v>
      </c>
      <c r="F586" s="8">
        <f>'Rail Asset Calcs'!M52</f>
        <v>0</v>
      </c>
      <c r="G586" s="8">
        <f>'Rail Asset Calcs'!Q52</f>
        <v>0</v>
      </c>
      <c r="H586" s="8">
        <f>'Rail Asset Calcs'!U52</f>
        <v>0</v>
      </c>
      <c r="I586" s="8">
        <f>'Rail Asset Calcs'!Y52</f>
        <v>0</v>
      </c>
    </row>
    <row r="587" spans="2:9" ht="9.75" outlineLevel="1">
      <c r="B587" s="22" t="str">
        <f>rail11</f>
        <v>Route 11</v>
      </c>
      <c r="C587" s="6" t="s">
        <v>85</v>
      </c>
      <c r="D587" s="8">
        <f>'Rail Asset Calcs'!E53</f>
        <v>0</v>
      </c>
      <c r="E587" s="8">
        <f>'Rail Asset Calcs'!I53</f>
        <v>0</v>
      </c>
      <c r="F587" s="8">
        <f>'Rail Asset Calcs'!M53</f>
        <v>0</v>
      </c>
      <c r="G587" s="8">
        <f>'Rail Asset Calcs'!Q53</f>
        <v>0</v>
      </c>
      <c r="H587" s="8">
        <f>'Rail Asset Calcs'!U53</f>
        <v>0</v>
      </c>
      <c r="I587" s="8">
        <f>'Rail Asset Calcs'!Y53</f>
        <v>0</v>
      </c>
    </row>
    <row r="588" spans="2:9" ht="9.75" outlineLevel="1">
      <c r="B588" s="22" t="str">
        <f>rail12</f>
        <v>Route 12</v>
      </c>
      <c r="C588" s="6" t="s">
        <v>85</v>
      </c>
      <c r="D588" s="8">
        <f>'Rail Asset Calcs'!E54</f>
        <v>0</v>
      </c>
      <c r="E588" s="8">
        <f>'Rail Asset Calcs'!I54</f>
        <v>0</v>
      </c>
      <c r="F588" s="8">
        <f>'Rail Asset Calcs'!M54</f>
        <v>0</v>
      </c>
      <c r="G588" s="8">
        <f>'Rail Asset Calcs'!Q54</f>
        <v>0</v>
      </c>
      <c r="H588" s="8">
        <f>'Rail Asset Calcs'!U54</f>
        <v>0</v>
      </c>
      <c r="I588" s="8">
        <f>'Rail Asset Calcs'!Y54</f>
        <v>0</v>
      </c>
    </row>
    <row r="589" spans="2:9" ht="9.75" outlineLevel="1">
      <c r="B589" s="22" t="str">
        <f>rail13</f>
        <v>Route 13</v>
      </c>
      <c r="C589" s="6" t="s">
        <v>85</v>
      </c>
      <c r="D589" s="8">
        <f>'Rail Asset Calcs'!E55</f>
        <v>0</v>
      </c>
      <c r="E589" s="8">
        <f>'Rail Asset Calcs'!I55</f>
        <v>0</v>
      </c>
      <c r="F589" s="8">
        <f>'Rail Asset Calcs'!M55</f>
        <v>0</v>
      </c>
      <c r="G589" s="8">
        <f>'Rail Asset Calcs'!Q55</f>
        <v>0</v>
      </c>
      <c r="H589" s="8">
        <f>'Rail Asset Calcs'!U55</f>
        <v>0</v>
      </c>
      <c r="I589" s="8">
        <f>'Rail Asset Calcs'!Y55</f>
        <v>0</v>
      </c>
    </row>
    <row r="590" spans="2:9" ht="9.75" outlineLevel="1">
      <c r="B590" s="22" t="str">
        <f>rail14</f>
        <v>Route 14</v>
      </c>
      <c r="C590" s="6" t="s">
        <v>85</v>
      </c>
      <c r="D590" s="8">
        <f>'Rail Asset Calcs'!E56</f>
        <v>0</v>
      </c>
      <c r="E590" s="8">
        <f>'Rail Asset Calcs'!I56</f>
        <v>0</v>
      </c>
      <c r="F590" s="8">
        <f>'Rail Asset Calcs'!M56</f>
        <v>0</v>
      </c>
      <c r="G590" s="8">
        <f>'Rail Asset Calcs'!Q56</f>
        <v>0</v>
      </c>
      <c r="H590" s="8">
        <f>'Rail Asset Calcs'!U56</f>
        <v>0</v>
      </c>
      <c r="I590" s="8">
        <f>'Rail Asset Calcs'!Y56</f>
        <v>0</v>
      </c>
    </row>
    <row r="591" spans="2:9" ht="9.75" outlineLevel="1">
      <c r="B591" s="22" t="str">
        <f>rail15</f>
        <v>Route 15</v>
      </c>
      <c r="C591" s="6" t="s">
        <v>85</v>
      </c>
      <c r="D591" s="8">
        <f>'Rail Asset Calcs'!E57</f>
        <v>0</v>
      </c>
      <c r="E591" s="8">
        <f>'Rail Asset Calcs'!I57</f>
        <v>0</v>
      </c>
      <c r="F591" s="8">
        <f>'Rail Asset Calcs'!M57</f>
        <v>0</v>
      </c>
      <c r="G591" s="8">
        <f>'Rail Asset Calcs'!Q57</f>
        <v>0</v>
      </c>
      <c r="H591" s="8">
        <f>'Rail Asset Calcs'!U57</f>
        <v>0</v>
      </c>
      <c r="I591" s="8">
        <f>'Rail Asset Calcs'!Y57</f>
        <v>0</v>
      </c>
    </row>
    <row r="592" spans="2:9" ht="9.75" outlineLevel="1">
      <c r="B592" s="22" t="str">
        <f>rail16</f>
        <v>Route 16</v>
      </c>
      <c r="C592" s="6" t="s">
        <v>85</v>
      </c>
      <c r="D592" s="8">
        <f>'Rail Asset Calcs'!E58</f>
        <v>0</v>
      </c>
      <c r="E592" s="8">
        <f>'Rail Asset Calcs'!I58</f>
        <v>0</v>
      </c>
      <c r="F592" s="8">
        <f>'Rail Asset Calcs'!M58</f>
        <v>0</v>
      </c>
      <c r="G592" s="8">
        <f>'Rail Asset Calcs'!Q58</f>
        <v>0</v>
      </c>
      <c r="H592" s="8">
        <f>'Rail Asset Calcs'!U58</f>
        <v>0</v>
      </c>
      <c r="I592" s="8">
        <f>'Rail Asset Calcs'!Y58</f>
        <v>0</v>
      </c>
    </row>
    <row r="593" spans="2:9" ht="9.75" outlineLevel="1">
      <c r="B593" s="22" t="str">
        <f>rail17</f>
        <v>Route 17</v>
      </c>
      <c r="C593" s="6" t="s">
        <v>85</v>
      </c>
      <c r="D593" s="8">
        <f>'Rail Asset Calcs'!E59</f>
        <v>0</v>
      </c>
      <c r="E593" s="8">
        <f>'Rail Asset Calcs'!I59</f>
        <v>0</v>
      </c>
      <c r="F593" s="8">
        <f>'Rail Asset Calcs'!M59</f>
        <v>0</v>
      </c>
      <c r="G593" s="8">
        <f>'Rail Asset Calcs'!Q59</f>
        <v>0</v>
      </c>
      <c r="H593" s="8">
        <f>'Rail Asset Calcs'!U59</f>
        <v>0</v>
      </c>
      <c r="I593" s="8">
        <f>'Rail Asset Calcs'!Y59</f>
        <v>0</v>
      </c>
    </row>
    <row r="594" spans="2:9" ht="9.75" outlineLevel="1">
      <c r="B594" s="22" t="str">
        <f>rail18</f>
        <v>Route 18</v>
      </c>
      <c r="C594" s="6" t="s">
        <v>85</v>
      </c>
      <c r="D594" s="8">
        <f>'Rail Asset Calcs'!E60</f>
        <v>0</v>
      </c>
      <c r="E594" s="8">
        <f>'Rail Asset Calcs'!I60</f>
        <v>0</v>
      </c>
      <c r="F594" s="8">
        <f>'Rail Asset Calcs'!M60</f>
        <v>0</v>
      </c>
      <c r="G594" s="8">
        <f>'Rail Asset Calcs'!Q60</f>
        <v>0</v>
      </c>
      <c r="H594" s="8">
        <f>'Rail Asset Calcs'!U60</f>
        <v>0</v>
      </c>
      <c r="I594" s="8">
        <f>'Rail Asset Calcs'!Y60</f>
        <v>0</v>
      </c>
    </row>
    <row r="595" spans="2:9" ht="9.75" outlineLevel="1">
      <c r="B595" s="22" t="str">
        <f>rail19</f>
        <v>Route 19</v>
      </c>
      <c r="C595" s="6" t="s">
        <v>85</v>
      </c>
      <c r="D595" s="8">
        <f>'Rail Asset Calcs'!E61</f>
        <v>0</v>
      </c>
      <c r="E595" s="8">
        <f>'Rail Asset Calcs'!I61</f>
        <v>0</v>
      </c>
      <c r="F595" s="8">
        <f>'Rail Asset Calcs'!M61</f>
        <v>0</v>
      </c>
      <c r="G595" s="8">
        <f>'Rail Asset Calcs'!Q61</f>
        <v>0</v>
      </c>
      <c r="H595" s="8">
        <f>'Rail Asset Calcs'!U61</f>
        <v>0</v>
      </c>
      <c r="I595" s="8">
        <f>'Rail Asset Calcs'!Y61</f>
        <v>0</v>
      </c>
    </row>
    <row r="596" spans="2:9" ht="9.75" outlineLevel="1">
      <c r="B596" s="22" t="str">
        <f>rail20</f>
        <v>Route 20</v>
      </c>
      <c r="C596" s="6" t="s">
        <v>85</v>
      </c>
      <c r="D596" s="8">
        <f>'Rail Asset Calcs'!E62</f>
        <v>0</v>
      </c>
      <c r="E596" s="8">
        <f>'Rail Asset Calcs'!I62</f>
        <v>0</v>
      </c>
      <c r="F596" s="8">
        <f>'Rail Asset Calcs'!M62</f>
        <v>0</v>
      </c>
      <c r="G596" s="8">
        <f>'Rail Asset Calcs'!Q62</f>
        <v>0</v>
      </c>
      <c r="H596" s="8">
        <f>'Rail Asset Calcs'!U62</f>
        <v>0</v>
      </c>
      <c r="I596" s="8">
        <f>'Rail Asset Calcs'!Y62</f>
        <v>0</v>
      </c>
    </row>
    <row r="597" spans="2:9" ht="9.75" outlineLevel="1">
      <c r="B597" s="1" t="s">
        <v>282</v>
      </c>
      <c r="C597" s="6" t="s">
        <v>85</v>
      </c>
      <c r="D597" s="170">
        <f aca="true" t="shared" si="38" ref="D597:I597">SUM(D577:D596)</f>
        <v>3996861.3409255287</v>
      </c>
      <c r="E597" s="170">
        <f t="shared" si="38"/>
        <v>17536122.984612033</v>
      </c>
      <c r="F597" s="170">
        <f t="shared" si="38"/>
        <v>17536122.984612033</v>
      </c>
      <c r="G597" s="170">
        <f t="shared" si="38"/>
        <v>17536122.984612033</v>
      </c>
      <c r="H597" s="170">
        <f t="shared" si="38"/>
        <v>17536122.984612033</v>
      </c>
      <c r="I597" s="170">
        <f t="shared" si="38"/>
        <v>17536122.984612033</v>
      </c>
    </row>
    <row r="598" ht="9.75" outlineLevel="1"/>
    <row r="599" spans="2:9" ht="9.75" outlineLevel="1">
      <c r="B599" s="2" t="s">
        <v>45</v>
      </c>
      <c r="C599" s="6" t="s">
        <v>85</v>
      </c>
      <c r="D599" s="30">
        <f aca="true" t="shared" si="39" ref="D599:I599">D551+D574+D597</f>
        <v>3996861.3409255287</v>
      </c>
      <c r="E599" s="30">
        <f t="shared" si="39"/>
        <v>17536122.984612033</v>
      </c>
      <c r="F599" s="30">
        <f t="shared" si="39"/>
        <v>17536122.984612033</v>
      </c>
      <c r="G599" s="30">
        <f t="shared" si="39"/>
        <v>17536122.984612033</v>
      </c>
      <c r="H599" s="30">
        <f t="shared" si="39"/>
        <v>17536122.984612033</v>
      </c>
      <c r="I599" s="30">
        <f t="shared" si="39"/>
        <v>17536122.984612033</v>
      </c>
    </row>
    <row r="600" ht="9.75" outlineLevel="1"/>
    <row r="601" spans="1:2" ht="9.75">
      <c r="A601" s="198" t="str">
        <f>HYPERLINK(CONCATENATE(workbookname,"$A$7"),"Top")</f>
        <v>Top</v>
      </c>
      <c r="B601" s="3" t="str">
        <f>Contents!B101</f>
        <v>Operating Expenses</v>
      </c>
    </row>
    <row r="602" ht="9.75">
      <c r="B602" s="171" t="str">
        <f>Contents!D101</f>
        <v>The different types of operating expenses allocated towards ceiling costing</v>
      </c>
    </row>
    <row r="603" ht="9.75" outlineLevel="1"/>
    <row r="604" ht="9.75" outlineLevel="1">
      <c r="B604" s="2" t="s">
        <v>252</v>
      </c>
    </row>
    <row r="605" spans="2:9" ht="9.75" outlineLevel="1">
      <c r="B605" s="22" t="str">
        <f>rail1</f>
        <v>Cloudbreak to Port Dumper</v>
      </c>
      <c r="C605" s="6" t="s">
        <v>85</v>
      </c>
      <c r="D605" s="8">
        <f>'Rail Expenses'!E57</f>
        <v>17104293</v>
      </c>
      <c r="E605" s="8">
        <f>'Rail Expenses'!F57</f>
        <v>17617421.79</v>
      </c>
      <c r="F605" s="8">
        <f>'Rail Expenses'!G57</f>
        <v>18145944.4437</v>
      </c>
      <c r="G605" s="8">
        <f>'Rail Expenses'!H57</f>
        <v>18690322.777011</v>
      </c>
      <c r="H605" s="8">
        <f>'Rail Expenses'!I57</f>
        <v>19251032.460321333</v>
      </c>
      <c r="I605" s="8">
        <f>'Rail Expenses'!J57</f>
        <v>19828563.43413097</v>
      </c>
    </row>
    <row r="606" spans="2:9" ht="9.75" outlineLevel="1">
      <c r="B606" s="22" t="str">
        <f>rail2</f>
        <v>Route 2</v>
      </c>
      <c r="C606" s="6" t="s">
        <v>85</v>
      </c>
      <c r="D606" s="8">
        <f>'Rail Expenses'!E58</f>
        <v>0</v>
      </c>
      <c r="E606" s="8">
        <f>'Rail Expenses'!F58</f>
        <v>0</v>
      </c>
      <c r="F606" s="8">
        <f>'Rail Expenses'!G58</f>
        <v>0</v>
      </c>
      <c r="G606" s="8">
        <f>'Rail Expenses'!H58</f>
        <v>0</v>
      </c>
      <c r="H606" s="8">
        <f>'Rail Expenses'!I58</f>
        <v>0</v>
      </c>
      <c r="I606" s="8">
        <f>'Rail Expenses'!J58</f>
        <v>0</v>
      </c>
    </row>
    <row r="607" spans="2:9" ht="9.75" outlineLevel="1">
      <c r="B607" s="22" t="str">
        <f>rail3</f>
        <v>Route 3</v>
      </c>
      <c r="C607" s="6" t="s">
        <v>85</v>
      </c>
      <c r="D607" s="8">
        <f>'Rail Expenses'!E59</f>
        <v>0</v>
      </c>
      <c r="E607" s="8">
        <f>'Rail Expenses'!F59</f>
        <v>0</v>
      </c>
      <c r="F607" s="8">
        <f>'Rail Expenses'!G59</f>
        <v>0</v>
      </c>
      <c r="G607" s="8">
        <f>'Rail Expenses'!H59</f>
        <v>0</v>
      </c>
      <c r="H607" s="8">
        <f>'Rail Expenses'!I59</f>
        <v>0</v>
      </c>
      <c r="I607" s="8">
        <f>'Rail Expenses'!J59</f>
        <v>0</v>
      </c>
    </row>
    <row r="608" spans="2:9" ht="9.75" outlineLevel="1">
      <c r="B608" s="22" t="str">
        <f>rail4</f>
        <v>Route 4</v>
      </c>
      <c r="C608" s="6" t="s">
        <v>85</v>
      </c>
      <c r="D608" s="8">
        <f>'Rail Expenses'!E60</f>
        <v>0</v>
      </c>
      <c r="E608" s="8">
        <f>'Rail Expenses'!F60</f>
        <v>0</v>
      </c>
      <c r="F608" s="8">
        <f>'Rail Expenses'!G60</f>
        <v>0</v>
      </c>
      <c r="G608" s="8">
        <f>'Rail Expenses'!H60</f>
        <v>0</v>
      </c>
      <c r="H608" s="8">
        <f>'Rail Expenses'!I60</f>
        <v>0</v>
      </c>
      <c r="I608" s="8">
        <f>'Rail Expenses'!J60</f>
        <v>0</v>
      </c>
    </row>
    <row r="609" spans="2:9" ht="9.75" outlineLevel="1">
      <c r="B609" s="22" t="str">
        <f>rail5</f>
        <v>Route 5</v>
      </c>
      <c r="C609" s="6" t="s">
        <v>85</v>
      </c>
      <c r="D609" s="8">
        <f>'Rail Expenses'!E61</f>
        <v>0</v>
      </c>
      <c r="E609" s="8">
        <f>'Rail Expenses'!F61</f>
        <v>0</v>
      </c>
      <c r="F609" s="8">
        <f>'Rail Expenses'!G61</f>
        <v>0</v>
      </c>
      <c r="G609" s="8">
        <f>'Rail Expenses'!H61</f>
        <v>0</v>
      </c>
      <c r="H609" s="8">
        <f>'Rail Expenses'!I61</f>
        <v>0</v>
      </c>
      <c r="I609" s="8">
        <f>'Rail Expenses'!J61</f>
        <v>0</v>
      </c>
    </row>
    <row r="610" spans="2:9" ht="9.75" outlineLevel="1">
      <c r="B610" s="22" t="str">
        <f>rail6</f>
        <v>Route 6</v>
      </c>
      <c r="C610" s="6" t="s">
        <v>85</v>
      </c>
      <c r="D610" s="8">
        <f>'Rail Expenses'!E62</f>
        <v>0</v>
      </c>
      <c r="E610" s="8">
        <f>'Rail Expenses'!F62</f>
        <v>0</v>
      </c>
      <c r="F610" s="8">
        <f>'Rail Expenses'!G62</f>
        <v>0</v>
      </c>
      <c r="G610" s="8">
        <f>'Rail Expenses'!H62</f>
        <v>0</v>
      </c>
      <c r="H610" s="8">
        <f>'Rail Expenses'!I62</f>
        <v>0</v>
      </c>
      <c r="I610" s="8">
        <f>'Rail Expenses'!J62</f>
        <v>0</v>
      </c>
    </row>
    <row r="611" spans="2:9" ht="9.75" outlineLevel="1">
      <c r="B611" s="22" t="str">
        <f>rail7</f>
        <v>Route 7</v>
      </c>
      <c r="C611" s="6" t="s">
        <v>85</v>
      </c>
      <c r="D611" s="8">
        <f>'Rail Expenses'!E63</f>
        <v>0</v>
      </c>
      <c r="E611" s="8">
        <f>'Rail Expenses'!F63</f>
        <v>0</v>
      </c>
      <c r="F611" s="8">
        <f>'Rail Expenses'!G63</f>
        <v>0</v>
      </c>
      <c r="G611" s="8">
        <f>'Rail Expenses'!H63</f>
        <v>0</v>
      </c>
      <c r="H611" s="8">
        <f>'Rail Expenses'!I63</f>
        <v>0</v>
      </c>
      <c r="I611" s="8">
        <f>'Rail Expenses'!J63</f>
        <v>0</v>
      </c>
    </row>
    <row r="612" spans="2:9" ht="9.75" outlineLevel="1">
      <c r="B612" s="22" t="str">
        <f>rail8</f>
        <v>Route 8</v>
      </c>
      <c r="C612" s="6" t="s">
        <v>85</v>
      </c>
      <c r="D612" s="8">
        <f>'Rail Expenses'!E64</f>
        <v>0</v>
      </c>
      <c r="E612" s="8">
        <f>'Rail Expenses'!F64</f>
        <v>0</v>
      </c>
      <c r="F612" s="8">
        <f>'Rail Expenses'!G64</f>
        <v>0</v>
      </c>
      <c r="G612" s="8">
        <f>'Rail Expenses'!H64</f>
        <v>0</v>
      </c>
      <c r="H612" s="8">
        <f>'Rail Expenses'!I64</f>
        <v>0</v>
      </c>
      <c r="I612" s="8">
        <f>'Rail Expenses'!J64</f>
        <v>0</v>
      </c>
    </row>
    <row r="613" spans="2:9" ht="9.75" outlineLevel="1">
      <c r="B613" s="22" t="str">
        <f>rail9</f>
        <v>Route 9</v>
      </c>
      <c r="C613" s="6" t="s">
        <v>85</v>
      </c>
      <c r="D613" s="8">
        <f>'Rail Expenses'!E65</f>
        <v>0</v>
      </c>
      <c r="E613" s="8">
        <f>'Rail Expenses'!F65</f>
        <v>0</v>
      </c>
      <c r="F613" s="8">
        <f>'Rail Expenses'!G65</f>
        <v>0</v>
      </c>
      <c r="G613" s="8">
        <f>'Rail Expenses'!H65</f>
        <v>0</v>
      </c>
      <c r="H613" s="8">
        <f>'Rail Expenses'!I65</f>
        <v>0</v>
      </c>
      <c r="I613" s="8">
        <f>'Rail Expenses'!J65</f>
        <v>0</v>
      </c>
    </row>
    <row r="614" spans="2:9" ht="9.75" outlineLevel="1">
      <c r="B614" s="22" t="str">
        <f>rail10</f>
        <v>Route 10</v>
      </c>
      <c r="C614" s="6" t="s">
        <v>85</v>
      </c>
      <c r="D614" s="8">
        <f>'Rail Expenses'!E66</f>
        <v>0</v>
      </c>
      <c r="E614" s="8">
        <f>'Rail Expenses'!F66</f>
        <v>0</v>
      </c>
      <c r="F614" s="8">
        <f>'Rail Expenses'!G66</f>
        <v>0</v>
      </c>
      <c r="G614" s="8">
        <f>'Rail Expenses'!H66</f>
        <v>0</v>
      </c>
      <c r="H614" s="8">
        <f>'Rail Expenses'!I66</f>
        <v>0</v>
      </c>
      <c r="I614" s="8">
        <f>'Rail Expenses'!J66</f>
        <v>0</v>
      </c>
    </row>
    <row r="615" spans="2:9" ht="9.75" outlineLevel="1">
      <c r="B615" s="22" t="str">
        <f>rail11</f>
        <v>Route 11</v>
      </c>
      <c r="C615" s="6" t="s">
        <v>85</v>
      </c>
      <c r="D615" s="8">
        <f>'Rail Expenses'!E67</f>
        <v>0</v>
      </c>
      <c r="E615" s="8">
        <f>'Rail Expenses'!F67</f>
        <v>0</v>
      </c>
      <c r="F615" s="8">
        <f>'Rail Expenses'!G67</f>
        <v>0</v>
      </c>
      <c r="G615" s="8">
        <f>'Rail Expenses'!H67</f>
        <v>0</v>
      </c>
      <c r="H615" s="8">
        <f>'Rail Expenses'!I67</f>
        <v>0</v>
      </c>
      <c r="I615" s="8">
        <f>'Rail Expenses'!J67</f>
        <v>0</v>
      </c>
    </row>
    <row r="616" spans="2:9" ht="9.75" outlineLevel="1">
      <c r="B616" s="22" t="str">
        <f>rail12</f>
        <v>Route 12</v>
      </c>
      <c r="C616" s="6" t="s">
        <v>85</v>
      </c>
      <c r="D616" s="8">
        <f>'Rail Expenses'!E68</f>
        <v>0</v>
      </c>
      <c r="E616" s="8">
        <f>'Rail Expenses'!F68</f>
        <v>0</v>
      </c>
      <c r="F616" s="8">
        <f>'Rail Expenses'!G68</f>
        <v>0</v>
      </c>
      <c r="G616" s="8">
        <f>'Rail Expenses'!H68</f>
        <v>0</v>
      </c>
      <c r="H616" s="8">
        <f>'Rail Expenses'!I68</f>
        <v>0</v>
      </c>
      <c r="I616" s="8">
        <f>'Rail Expenses'!J68</f>
        <v>0</v>
      </c>
    </row>
    <row r="617" spans="2:9" ht="9.75" outlineLevel="1">
      <c r="B617" s="22" t="str">
        <f>rail13</f>
        <v>Route 13</v>
      </c>
      <c r="C617" s="6" t="s">
        <v>85</v>
      </c>
      <c r="D617" s="8">
        <f>'Rail Expenses'!E69</f>
        <v>0</v>
      </c>
      <c r="E617" s="8">
        <f>'Rail Expenses'!F69</f>
        <v>0</v>
      </c>
      <c r="F617" s="8">
        <f>'Rail Expenses'!G69</f>
        <v>0</v>
      </c>
      <c r="G617" s="8">
        <f>'Rail Expenses'!H69</f>
        <v>0</v>
      </c>
      <c r="H617" s="8">
        <f>'Rail Expenses'!I69</f>
        <v>0</v>
      </c>
      <c r="I617" s="8">
        <f>'Rail Expenses'!J69</f>
        <v>0</v>
      </c>
    </row>
    <row r="618" spans="2:9" ht="9.75" outlineLevel="1">
      <c r="B618" s="22" t="str">
        <f>rail14</f>
        <v>Route 14</v>
      </c>
      <c r="C618" s="6" t="s">
        <v>85</v>
      </c>
      <c r="D618" s="8">
        <f>'Rail Expenses'!E70</f>
        <v>0</v>
      </c>
      <c r="E618" s="8">
        <f>'Rail Expenses'!F70</f>
        <v>0</v>
      </c>
      <c r="F618" s="8">
        <f>'Rail Expenses'!G70</f>
        <v>0</v>
      </c>
      <c r="G618" s="8">
        <f>'Rail Expenses'!H70</f>
        <v>0</v>
      </c>
      <c r="H618" s="8">
        <f>'Rail Expenses'!I70</f>
        <v>0</v>
      </c>
      <c r="I618" s="8">
        <f>'Rail Expenses'!J70</f>
        <v>0</v>
      </c>
    </row>
    <row r="619" spans="2:9" ht="9.75" outlineLevel="1">
      <c r="B619" s="22" t="str">
        <f>rail15</f>
        <v>Route 15</v>
      </c>
      <c r="C619" s="6" t="s">
        <v>85</v>
      </c>
      <c r="D619" s="8">
        <f>'Rail Expenses'!E71</f>
        <v>0</v>
      </c>
      <c r="E619" s="8">
        <f>'Rail Expenses'!F71</f>
        <v>0</v>
      </c>
      <c r="F619" s="8">
        <f>'Rail Expenses'!G71</f>
        <v>0</v>
      </c>
      <c r="G619" s="8">
        <f>'Rail Expenses'!H71</f>
        <v>0</v>
      </c>
      <c r="H619" s="8">
        <f>'Rail Expenses'!I71</f>
        <v>0</v>
      </c>
      <c r="I619" s="8">
        <f>'Rail Expenses'!J71</f>
        <v>0</v>
      </c>
    </row>
    <row r="620" spans="2:9" ht="9.75" outlineLevel="1">
      <c r="B620" s="22" t="str">
        <f>rail16</f>
        <v>Route 16</v>
      </c>
      <c r="C620" s="6" t="s">
        <v>85</v>
      </c>
      <c r="D620" s="8">
        <f>'Rail Expenses'!E72</f>
        <v>0</v>
      </c>
      <c r="E620" s="8">
        <f>'Rail Expenses'!F72</f>
        <v>0</v>
      </c>
      <c r="F620" s="8">
        <f>'Rail Expenses'!G72</f>
        <v>0</v>
      </c>
      <c r="G620" s="8">
        <f>'Rail Expenses'!H72</f>
        <v>0</v>
      </c>
      <c r="H620" s="8">
        <f>'Rail Expenses'!I72</f>
        <v>0</v>
      </c>
      <c r="I620" s="8">
        <f>'Rail Expenses'!J72</f>
        <v>0</v>
      </c>
    </row>
    <row r="621" spans="2:9" ht="9.75" outlineLevel="1">
      <c r="B621" s="22" t="str">
        <f>rail17</f>
        <v>Route 17</v>
      </c>
      <c r="C621" s="6" t="s">
        <v>85</v>
      </c>
      <c r="D621" s="8">
        <f>'Rail Expenses'!E73</f>
        <v>0</v>
      </c>
      <c r="E621" s="8">
        <f>'Rail Expenses'!F73</f>
        <v>0</v>
      </c>
      <c r="F621" s="8">
        <f>'Rail Expenses'!G73</f>
        <v>0</v>
      </c>
      <c r="G621" s="8">
        <f>'Rail Expenses'!H73</f>
        <v>0</v>
      </c>
      <c r="H621" s="8">
        <f>'Rail Expenses'!I73</f>
        <v>0</v>
      </c>
      <c r="I621" s="8">
        <f>'Rail Expenses'!J73</f>
        <v>0</v>
      </c>
    </row>
    <row r="622" spans="2:9" ht="9.75" outlineLevel="1">
      <c r="B622" s="22" t="str">
        <f>rail18</f>
        <v>Route 18</v>
      </c>
      <c r="C622" s="6" t="s">
        <v>85</v>
      </c>
      <c r="D622" s="8">
        <f>'Rail Expenses'!E74</f>
        <v>0</v>
      </c>
      <c r="E622" s="8">
        <f>'Rail Expenses'!F74</f>
        <v>0</v>
      </c>
      <c r="F622" s="8">
        <f>'Rail Expenses'!G74</f>
        <v>0</v>
      </c>
      <c r="G622" s="8">
        <f>'Rail Expenses'!H74</f>
        <v>0</v>
      </c>
      <c r="H622" s="8">
        <f>'Rail Expenses'!I74</f>
        <v>0</v>
      </c>
      <c r="I622" s="8">
        <f>'Rail Expenses'!J74</f>
        <v>0</v>
      </c>
    </row>
    <row r="623" spans="2:9" ht="9.75" outlineLevel="1">
      <c r="B623" s="22" t="str">
        <f>rail19</f>
        <v>Route 19</v>
      </c>
      <c r="C623" s="6" t="s">
        <v>85</v>
      </c>
      <c r="D623" s="8">
        <f>'Rail Expenses'!E75</f>
        <v>0</v>
      </c>
      <c r="E623" s="8">
        <f>'Rail Expenses'!F75</f>
        <v>0</v>
      </c>
      <c r="F623" s="8">
        <f>'Rail Expenses'!G75</f>
        <v>0</v>
      </c>
      <c r="G623" s="8">
        <f>'Rail Expenses'!H75</f>
        <v>0</v>
      </c>
      <c r="H623" s="8">
        <f>'Rail Expenses'!I75</f>
        <v>0</v>
      </c>
      <c r="I623" s="8">
        <f>'Rail Expenses'!J75</f>
        <v>0</v>
      </c>
    </row>
    <row r="624" spans="2:9" ht="9.75" outlineLevel="1">
      <c r="B624" s="22" t="str">
        <f>rail20</f>
        <v>Route 20</v>
      </c>
      <c r="C624" s="6" t="s">
        <v>85</v>
      </c>
      <c r="D624" s="8">
        <f>'Rail Expenses'!E76</f>
        <v>0</v>
      </c>
      <c r="E624" s="8">
        <f>'Rail Expenses'!F76</f>
        <v>0</v>
      </c>
      <c r="F624" s="8">
        <f>'Rail Expenses'!G76</f>
        <v>0</v>
      </c>
      <c r="G624" s="8">
        <f>'Rail Expenses'!H76</f>
        <v>0</v>
      </c>
      <c r="H624" s="8">
        <f>'Rail Expenses'!I76</f>
        <v>0</v>
      </c>
      <c r="I624" s="8">
        <f>'Rail Expenses'!J76</f>
        <v>0</v>
      </c>
    </row>
    <row r="625" spans="2:9" ht="9.75" outlineLevel="1">
      <c r="B625" s="1" t="s">
        <v>254</v>
      </c>
      <c r="C625" s="6" t="s">
        <v>85</v>
      </c>
      <c r="D625" s="170">
        <f aca="true" t="shared" si="40" ref="D625:I625">SUM(D605:D624)</f>
        <v>17104293</v>
      </c>
      <c r="E625" s="170">
        <f t="shared" si="40"/>
        <v>17617421.79</v>
      </c>
      <c r="F625" s="170">
        <f t="shared" si="40"/>
        <v>18145944.4437</v>
      </c>
      <c r="G625" s="170">
        <f t="shared" si="40"/>
        <v>18690322.777011</v>
      </c>
      <c r="H625" s="170">
        <f t="shared" si="40"/>
        <v>19251032.460321333</v>
      </c>
      <c r="I625" s="170">
        <f t="shared" si="40"/>
        <v>19828563.43413097</v>
      </c>
    </row>
    <row r="626" ht="9.75" outlineLevel="1"/>
    <row r="627" ht="9.75" outlineLevel="1">
      <c r="B627" s="2" t="s">
        <v>256</v>
      </c>
    </row>
    <row r="628" spans="2:9" ht="9.75" outlineLevel="1">
      <c r="B628" s="22" t="str">
        <f>rail1</f>
        <v>Cloudbreak to Port Dumper</v>
      </c>
      <c r="C628" s="6" t="s">
        <v>85</v>
      </c>
      <c r="D628" s="8">
        <f>'Rail Expenses'!E275</f>
        <v>0</v>
      </c>
      <c r="E628" s="8">
        <f>'Rail Expenses'!F275</f>
        <v>0</v>
      </c>
      <c r="F628" s="8">
        <f>'Rail Expenses'!G275</f>
        <v>0</v>
      </c>
      <c r="G628" s="8">
        <f>'Rail Expenses'!H275</f>
        <v>0</v>
      </c>
      <c r="H628" s="8">
        <f>'Rail Expenses'!I275</f>
        <v>0</v>
      </c>
      <c r="I628" s="8">
        <f>'Rail Expenses'!J275</f>
        <v>0</v>
      </c>
    </row>
    <row r="629" spans="2:9" ht="9.75" outlineLevel="1">
      <c r="B629" s="22" t="str">
        <f>rail2</f>
        <v>Route 2</v>
      </c>
      <c r="C629" s="6" t="s">
        <v>85</v>
      </c>
      <c r="D629" s="8">
        <f>'Rail Expenses'!E276</f>
        <v>0</v>
      </c>
      <c r="E629" s="8">
        <f>'Rail Expenses'!F276</f>
        <v>0</v>
      </c>
      <c r="F629" s="8">
        <f>'Rail Expenses'!G276</f>
        <v>0</v>
      </c>
      <c r="G629" s="8">
        <f>'Rail Expenses'!H276</f>
        <v>0</v>
      </c>
      <c r="H629" s="8">
        <f>'Rail Expenses'!I276</f>
        <v>0</v>
      </c>
      <c r="I629" s="8">
        <f>'Rail Expenses'!J276</f>
        <v>0</v>
      </c>
    </row>
    <row r="630" spans="2:9" ht="9.75" outlineLevel="1">
      <c r="B630" s="22" t="str">
        <f>rail3</f>
        <v>Route 3</v>
      </c>
      <c r="C630" s="6" t="s">
        <v>85</v>
      </c>
      <c r="D630" s="8">
        <f>'Rail Expenses'!E277</f>
        <v>0</v>
      </c>
      <c r="E630" s="8">
        <f>'Rail Expenses'!F277</f>
        <v>0</v>
      </c>
      <c r="F630" s="8">
        <f>'Rail Expenses'!G277</f>
        <v>0</v>
      </c>
      <c r="G630" s="8">
        <f>'Rail Expenses'!H277</f>
        <v>0</v>
      </c>
      <c r="H630" s="8">
        <f>'Rail Expenses'!I277</f>
        <v>0</v>
      </c>
      <c r="I630" s="8">
        <f>'Rail Expenses'!J277</f>
        <v>0</v>
      </c>
    </row>
    <row r="631" spans="2:9" ht="9.75" outlineLevel="1">
      <c r="B631" s="22" t="str">
        <f>rail4</f>
        <v>Route 4</v>
      </c>
      <c r="C631" s="6" t="s">
        <v>85</v>
      </c>
      <c r="D631" s="8">
        <f>'Rail Expenses'!E278</f>
        <v>0</v>
      </c>
      <c r="E631" s="8">
        <f>'Rail Expenses'!F278</f>
        <v>0</v>
      </c>
      <c r="F631" s="8">
        <f>'Rail Expenses'!G278</f>
        <v>0</v>
      </c>
      <c r="G631" s="8">
        <f>'Rail Expenses'!H278</f>
        <v>0</v>
      </c>
      <c r="H631" s="8">
        <f>'Rail Expenses'!I278</f>
        <v>0</v>
      </c>
      <c r="I631" s="8">
        <f>'Rail Expenses'!J278</f>
        <v>0</v>
      </c>
    </row>
    <row r="632" spans="2:9" ht="9.75" outlineLevel="1">
      <c r="B632" s="22" t="str">
        <f>rail5</f>
        <v>Route 5</v>
      </c>
      <c r="C632" s="6" t="s">
        <v>85</v>
      </c>
      <c r="D632" s="8">
        <f>'Rail Expenses'!E279</f>
        <v>0</v>
      </c>
      <c r="E632" s="8">
        <f>'Rail Expenses'!F279</f>
        <v>0</v>
      </c>
      <c r="F632" s="8">
        <f>'Rail Expenses'!G279</f>
        <v>0</v>
      </c>
      <c r="G632" s="8">
        <f>'Rail Expenses'!H279</f>
        <v>0</v>
      </c>
      <c r="H632" s="8">
        <f>'Rail Expenses'!I279</f>
        <v>0</v>
      </c>
      <c r="I632" s="8">
        <f>'Rail Expenses'!J279</f>
        <v>0</v>
      </c>
    </row>
    <row r="633" spans="2:9" ht="9.75" outlineLevel="1">
      <c r="B633" s="22" t="str">
        <f>rail6</f>
        <v>Route 6</v>
      </c>
      <c r="C633" s="6" t="s">
        <v>85</v>
      </c>
      <c r="D633" s="8">
        <f>'Rail Expenses'!E280</f>
        <v>0</v>
      </c>
      <c r="E633" s="8">
        <f>'Rail Expenses'!F280</f>
        <v>0</v>
      </c>
      <c r="F633" s="8">
        <f>'Rail Expenses'!G280</f>
        <v>0</v>
      </c>
      <c r="G633" s="8">
        <f>'Rail Expenses'!H280</f>
        <v>0</v>
      </c>
      <c r="H633" s="8">
        <f>'Rail Expenses'!I280</f>
        <v>0</v>
      </c>
      <c r="I633" s="8">
        <f>'Rail Expenses'!J280</f>
        <v>0</v>
      </c>
    </row>
    <row r="634" spans="2:9" ht="9.75" outlineLevel="1">
      <c r="B634" s="22" t="str">
        <f>rail7</f>
        <v>Route 7</v>
      </c>
      <c r="C634" s="6" t="s">
        <v>85</v>
      </c>
      <c r="D634" s="8">
        <f>'Rail Expenses'!E281</f>
        <v>0</v>
      </c>
      <c r="E634" s="8">
        <f>'Rail Expenses'!F281</f>
        <v>0</v>
      </c>
      <c r="F634" s="8">
        <f>'Rail Expenses'!G281</f>
        <v>0</v>
      </c>
      <c r="G634" s="8">
        <f>'Rail Expenses'!H281</f>
        <v>0</v>
      </c>
      <c r="H634" s="8">
        <f>'Rail Expenses'!I281</f>
        <v>0</v>
      </c>
      <c r="I634" s="8">
        <f>'Rail Expenses'!J281</f>
        <v>0</v>
      </c>
    </row>
    <row r="635" spans="2:9" ht="9.75" outlineLevel="1">
      <c r="B635" s="22" t="str">
        <f>rail8</f>
        <v>Route 8</v>
      </c>
      <c r="C635" s="6" t="s">
        <v>85</v>
      </c>
      <c r="D635" s="8">
        <f>'Rail Expenses'!E282</f>
        <v>0</v>
      </c>
      <c r="E635" s="8">
        <f>'Rail Expenses'!F282</f>
        <v>0</v>
      </c>
      <c r="F635" s="8">
        <f>'Rail Expenses'!G282</f>
        <v>0</v>
      </c>
      <c r="G635" s="8">
        <f>'Rail Expenses'!H282</f>
        <v>0</v>
      </c>
      <c r="H635" s="8">
        <f>'Rail Expenses'!I282</f>
        <v>0</v>
      </c>
      <c r="I635" s="8">
        <f>'Rail Expenses'!J282</f>
        <v>0</v>
      </c>
    </row>
    <row r="636" spans="2:9" ht="9.75" outlineLevel="1">
      <c r="B636" s="22" t="str">
        <f>rail9</f>
        <v>Route 9</v>
      </c>
      <c r="C636" s="6" t="s">
        <v>85</v>
      </c>
      <c r="D636" s="8">
        <f>'Rail Expenses'!E283</f>
        <v>0</v>
      </c>
      <c r="E636" s="8">
        <f>'Rail Expenses'!F283</f>
        <v>0</v>
      </c>
      <c r="F636" s="8">
        <f>'Rail Expenses'!G283</f>
        <v>0</v>
      </c>
      <c r="G636" s="8">
        <f>'Rail Expenses'!H283</f>
        <v>0</v>
      </c>
      <c r="H636" s="8">
        <f>'Rail Expenses'!I283</f>
        <v>0</v>
      </c>
      <c r="I636" s="8">
        <f>'Rail Expenses'!J283</f>
        <v>0</v>
      </c>
    </row>
    <row r="637" spans="2:9" ht="9.75" outlineLevel="1">
      <c r="B637" s="22" t="str">
        <f>rail10</f>
        <v>Route 10</v>
      </c>
      <c r="C637" s="6" t="s">
        <v>85</v>
      </c>
      <c r="D637" s="8">
        <f>'Rail Expenses'!E284</f>
        <v>0</v>
      </c>
      <c r="E637" s="8">
        <f>'Rail Expenses'!F284</f>
        <v>0</v>
      </c>
      <c r="F637" s="8">
        <f>'Rail Expenses'!G284</f>
        <v>0</v>
      </c>
      <c r="G637" s="8">
        <f>'Rail Expenses'!H284</f>
        <v>0</v>
      </c>
      <c r="H637" s="8">
        <f>'Rail Expenses'!I284</f>
        <v>0</v>
      </c>
      <c r="I637" s="8">
        <f>'Rail Expenses'!J284</f>
        <v>0</v>
      </c>
    </row>
    <row r="638" spans="2:9" ht="9.75" outlineLevel="1">
      <c r="B638" s="22" t="str">
        <f>rail11</f>
        <v>Route 11</v>
      </c>
      <c r="C638" s="6" t="s">
        <v>85</v>
      </c>
      <c r="D638" s="8">
        <f>'Rail Expenses'!E285</f>
        <v>0</v>
      </c>
      <c r="E638" s="8">
        <f>'Rail Expenses'!F285</f>
        <v>0</v>
      </c>
      <c r="F638" s="8">
        <f>'Rail Expenses'!G285</f>
        <v>0</v>
      </c>
      <c r="G638" s="8">
        <f>'Rail Expenses'!H285</f>
        <v>0</v>
      </c>
      <c r="H638" s="8">
        <f>'Rail Expenses'!I285</f>
        <v>0</v>
      </c>
      <c r="I638" s="8">
        <f>'Rail Expenses'!J285</f>
        <v>0</v>
      </c>
    </row>
    <row r="639" spans="2:9" ht="9.75" outlineLevel="1">
      <c r="B639" s="22" t="str">
        <f>rail12</f>
        <v>Route 12</v>
      </c>
      <c r="C639" s="6" t="s">
        <v>85</v>
      </c>
      <c r="D639" s="8">
        <f>'Rail Expenses'!E286</f>
        <v>0</v>
      </c>
      <c r="E639" s="8">
        <f>'Rail Expenses'!F286</f>
        <v>0</v>
      </c>
      <c r="F639" s="8">
        <f>'Rail Expenses'!G286</f>
        <v>0</v>
      </c>
      <c r="G639" s="8">
        <f>'Rail Expenses'!H286</f>
        <v>0</v>
      </c>
      <c r="H639" s="8">
        <f>'Rail Expenses'!I286</f>
        <v>0</v>
      </c>
      <c r="I639" s="8">
        <f>'Rail Expenses'!J286</f>
        <v>0</v>
      </c>
    </row>
    <row r="640" spans="2:9" ht="9.75" outlineLevel="1">
      <c r="B640" s="22" t="str">
        <f>rail13</f>
        <v>Route 13</v>
      </c>
      <c r="C640" s="6" t="s">
        <v>85</v>
      </c>
      <c r="D640" s="8">
        <f>'Rail Expenses'!E287</f>
        <v>0</v>
      </c>
      <c r="E640" s="8">
        <f>'Rail Expenses'!F287</f>
        <v>0</v>
      </c>
      <c r="F640" s="8">
        <f>'Rail Expenses'!G287</f>
        <v>0</v>
      </c>
      <c r="G640" s="8">
        <f>'Rail Expenses'!H287</f>
        <v>0</v>
      </c>
      <c r="H640" s="8">
        <f>'Rail Expenses'!I287</f>
        <v>0</v>
      </c>
      <c r="I640" s="8">
        <f>'Rail Expenses'!J287</f>
        <v>0</v>
      </c>
    </row>
    <row r="641" spans="2:9" ht="9.75" outlineLevel="1">
      <c r="B641" s="22" t="str">
        <f>rail14</f>
        <v>Route 14</v>
      </c>
      <c r="C641" s="6" t="s">
        <v>85</v>
      </c>
      <c r="D641" s="8">
        <f>'Rail Expenses'!E288</f>
        <v>0</v>
      </c>
      <c r="E641" s="8">
        <f>'Rail Expenses'!F288</f>
        <v>0</v>
      </c>
      <c r="F641" s="8">
        <f>'Rail Expenses'!G288</f>
        <v>0</v>
      </c>
      <c r="G641" s="8">
        <f>'Rail Expenses'!H288</f>
        <v>0</v>
      </c>
      <c r="H641" s="8">
        <f>'Rail Expenses'!I288</f>
        <v>0</v>
      </c>
      <c r="I641" s="8">
        <f>'Rail Expenses'!J288</f>
        <v>0</v>
      </c>
    </row>
    <row r="642" spans="2:9" ht="9.75" outlineLevel="1">
      <c r="B642" s="22" t="str">
        <f>rail15</f>
        <v>Route 15</v>
      </c>
      <c r="C642" s="6" t="s">
        <v>85</v>
      </c>
      <c r="D642" s="8">
        <f>'Rail Expenses'!E289</f>
        <v>0</v>
      </c>
      <c r="E642" s="8">
        <f>'Rail Expenses'!F289</f>
        <v>0</v>
      </c>
      <c r="F642" s="8">
        <f>'Rail Expenses'!G289</f>
        <v>0</v>
      </c>
      <c r="G642" s="8">
        <f>'Rail Expenses'!H289</f>
        <v>0</v>
      </c>
      <c r="H642" s="8">
        <f>'Rail Expenses'!I289</f>
        <v>0</v>
      </c>
      <c r="I642" s="8">
        <f>'Rail Expenses'!J289</f>
        <v>0</v>
      </c>
    </row>
    <row r="643" spans="2:9" ht="9.75" outlineLevel="1">
      <c r="B643" s="22" t="str">
        <f>rail16</f>
        <v>Route 16</v>
      </c>
      <c r="C643" s="6" t="s">
        <v>85</v>
      </c>
      <c r="D643" s="8">
        <f>'Rail Expenses'!E290</f>
        <v>0</v>
      </c>
      <c r="E643" s="8">
        <f>'Rail Expenses'!F290</f>
        <v>0</v>
      </c>
      <c r="F643" s="8">
        <f>'Rail Expenses'!G290</f>
        <v>0</v>
      </c>
      <c r="G643" s="8">
        <f>'Rail Expenses'!H290</f>
        <v>0</v>
      </c>
      <c r="H643" s="8">
        <f>'Rail Expenses'!I290</f>
        <v>0</v>
      </c>
      <c r="I643" s="8">
        <f>'Rail Expenses'!J290</f>
        <v>0</v>
      </c>
    </row>
    <row r="644" spans="2:9" ht="9.75" outlineLevel="1">
      <c r="B644" s="22" t="str">
        <f>rail17</f>
        <v>Route 17</v>
      </c>
      <c r="C644" s="6" t="s">
        <v>85</v>
      </c>
      <c r="D644" s="8">
        <f>'Rail Expenses'!E291</f>
        <v>0</v>
      </c>
      <c r="E644" s="8">
        <f>'Rail Expenses'!F291</f>
        <v>0</v>
      </c>
      <c r="F644" s="8">
        <f>'Rail Expenses'!G291</f>
        <v>0</v>
      </c>
      <c r="G644" s="8">
        <f>'Rail Expenses'!H291</f>
        <v>0</v>
      </c>
      <c r="H644" s="8">
        <f>'Rail Expenses'!I291</f>
        <v>0</v>
      </c>
      <c r="I644" s="8">
        <f>'Rail Expenses'!J291</f>
        <v>0</v>
      </c>
    </row>
    <row r="645" spans="2:9" ht="9.75" outlineLevel="1">
      <c r="B645" s="22" t="str">
        <f>rail18</f>
        <v>Route 18</v>
      </c>
      <c r="C645" s="6" t="s">
        <v>85</v>
      </c>
      <c r="D645" s="8">
        <f>'Rail Expenses'!E292</f>
        <v>0</v>
      </c>
      <c r="E645" s="8">
        <f>'Rail Expenses'!F292</f>
        <v>0</v>
      </c>
      <c r="F645" s="8">
        <f>'Rail Expenses'!G292</f>
        <v>0</v>
      </c>
      <c r="G645" s="8">
        <f>'Rail Expenses'!H292</f>
        <v>0</v>
      </c>
      <c r="H645" s="8">
        <f>'Rail Expenses'!I292</f>
        <v>0</v>
      </c>
      <c r="I645" s="8">
        <f>'Rail Expenses'!J292</f>
        <v>0</v>
      </c>
    </row>
    <row r="646" spans="2:9" ht="9.75" outlineLevel="1">
      <c r="B646" s="22" t="str">
        <f>rail19</f>
        <v>Route 19</v>
      </c>
      <c r="C646" s="6" t="s">
        <v>85</v>
      </c>
      <c r="D646" s="8">
        <f>'Rail Expenses'!E293</f>
        <v>0</v>
      </c>
      <c r="E646" s="8">
        <f>'Rail Expenses'!F293</f>
        <v>0</v>
      </c>
      <c r="F646" s="8">
        <f>'Rail Expenses'!G293</f>
        <v>0</v>
      </c>
      <c r="G646" s="8">
        <f>'Rail Expenses'!H293</f>
        <v>0</v>
      </c>
      <c r="H646" s="8">
        <f>'Rail Expenses'!I293</f>
        <v>0</v>
      </c>
      <c r="I646" s="8">
        <f>'Rail Expenses'!J293</f>
        <v>0</v>
      </c>
    </row>
    <row r="647" spans="2:9" ht="9.75" outlineLevel="1">
      <c r="B647" s="22" t="str">
        <f>rail20</f>
        <v>Route 20</v>
      </c>
      <c r="C647" s="6" t="s">
        <v>85</v>
      </c>
      <c r="D647" s="8">
        <f>'Rail Expenses'!E294</f>
        <v>0</v>
      </c>
      <c r="E647" s="8">
        <f>'Rail Expenses'!F294</f>
        <v>0</v>
      </c>
      <c r="F647" s="8">
        <f>'Rail Expenses'!G294</f>
        <v>0</v>
      </c>
      <c r="G647" s="8">
        <f>'Rail Expenses'!H294</f>
        <v>0</v>
      </c>
      <c r="H647" s="8">
        <f>'Rail Expenses'!I294</f>
        <v>0</v>
      </c>
      <c r="I647" s="8">
        <f>'Rail Expenses'!J294</f>
        <v>0</v>
      </c>
    </row>
    <row r="648" spans="2:9" ht="9.75" outlineLevel="1">
      <c r="B648" s="1" t="s">
        <v>257</v>
      </c>
      <c r="C648" s="6" t="s">
        <v>85</v>
      </c>
      <c r="D648" s="170">
        <f aca="true" t="shared" si="41" ref="D648:I648">SUM(D628:D647)</f>
        <v>0</v>
      </c>
      <c r="E648" s="170">
        <f t="shared" si="41"/>
        <v>0</v>
      </c>
      <c r="F648" s="170">
        <f t="shared" si="41"/>
        <v>0</v>
      </c>
      <c r="G648" s="170">
        <f t="shared" si="41"/>
        <v>0</v>
      </c>
      <c r="H648" s="170">
        <f t="shared" si="41"/>
        <v>0</v>
      </c>
      <c r="I648" s="170">
        <f t="shared" si="41"/>
        <v>0</v>
      </c>
    </row>
    <row r="649" ht="9.75" outlineLevel="1"/>
    <row r="650" ht="9.75" outlineLevel="1">
      <c r="B650" s="2" t="s">
        <v>283</v>
      </c>
    </row>
    <row r="651" spans="2:9" ht="9.75" outlineLevel="1">
      <c r="B651" s="22" t="str">
        <f>rail1</f>
        <v>Cloudbreak to Port Dumper</v>
      </c>
      <c r="C651" s="6" t="s">
        <v>85</v>
      </c>
      <c r="D651" s="8">
        <f>'Rail Expenses'!E198</f>
        <v>41438396</v>
      </c>
      <c r="E651" s="8">
        <f>'Rail Expenses'!F198</f>
        <v>42681547.88</v>
      </c>
      <c r="F651" s="8">
        <f>'Rail Expenses'!G198</f>
        <v>43961994.3164</v>
      </c>
      <c r="G651" s="8">
        <f>'Rail Expenses'!H198</f>
        <v>45280854.145892</v>
      </c>
      <c r="H651" s="8">
        <f>'Rail Expenses'!I198</f>
        <v>46639279.77026877</v>
      </c>
      <c r="I651" s="8">
        <f>'Rail Expenses'!J198</f>
        <v>48038458.16337682</v>
      </c>
    </row>
    <row r="652" spans="2:9" ht="9.75" outlineLevel="1">
      <c r="B652" s="22" t="str">
        <f>rail2</f>
        <v>Route 2</v>
      </c>
      <c r="C652" s="6" t="s">
        <v>85</v>
      </c>
      <c r="D652" s="8">
        <f>'Rail Expenses'!E199</f>
        <v>0</v>
      </c>
      <c r="E652" s="8">
        <f>'Rail Expenses'!F199</f>
        <v>0</v>
      </c>
      <c r="F652" s="8">
        <f>'Rail Expenses'!G199</f>
        <v>0</v>
      </c>
      <c r="G652" s="8">
        <f>'Rail Expenses'!H199</f>
        <v>0</v>
      </c>
      <c r="H652" s="8">
        <f>'Rail Expenses'!I199</f>
        <v>0</v>
      </c>
      <c r="I652" s="8">
        <f>'Rail Expenses'!J199</f>
        <v>0</v>
      </c>
    </row>
    <row r="653" spans="2:9" ht="9.75" outlineLevel="1">
      <c r="B653" s="22" t="str">
        <f>rail3</f>
        <v>Route 3</v>
      </c>
      <c r="C653" s="6" t="s">
        <v>85</v>
      </c>
      <c r="D653" s="8">
        <f>'Rail Expenses'!E200</f>
        <v>0</v>
      </c>
      <c r="E653" s="8">
        <f>'Rail Expenses'!F200</f>
        <v>0</v>
      </c>
      <c r="F653" s="8">
        <f>'Rail Expenses'!G200</f>
        <v>0</v>
      </c>
      <c r="G653" s="8">
        <f>'Rail Expenses'!H200</f>
        <v>0</v>
      </c>
      <c r="H653" s="8">
        <f>'Rail Expenses'!I200</f>
        <v>0</v>
      </c>
      <c r="I653" s="8">
        <f>'Rail Expenses'!J200</f>
        <v>0</v>
      </c>
    </row>
    <row r="654" spans="2:9" ht="9.75" outlineLevel="1">
      <c r="B654" s="22" t="str">
        <f>rail4</f>
        <v>Route 4</v>
      </c>
      <c r="C654" s="6" t="s">
        <v>85</v>
      </c>
      <c r="D654" s="8">
        <f>'Rail Expenses'!E201</f>
        <v>0</v>
      </c>
      <c r="E654" s="8">
        <f>'Rail Expenses'!F201</f>
        <v>0</v>
      </c>
      <c r="F654" s="8">
        <f>'Rail Expenses'!G201</f>
        <v>0</v>
      </c>
      <c r="G654" s="8">
        <f>'Rail Expenses'!H201</f>
        <v>0</v>
      </c>
      <c r="H654" s="8">
        <f>'Rail Expenses'!I201</f>
        <v>0</v>
      </c>
      <c r="I654" s="8">
        <f>'Rail Expenses'!J201</f>
        <v>0</v>
      </c>
    </row>
    <row r="655" spans="2:9" ht="9.75" outlineLevel="1">
      <c r="B655" s="22" t="str">
        <f>rail5</f>
        <v>Route 5</v>
      </c>
      <c r="C655" s="6" t="s">
        <v>85</v>
      </c>
      <c r="D655" s="8">
        <f>'Rail Expenses'!E202</f>
        <v>0</v>
      </c>
      <c r="E655" s="8">
        <f>'Rail Expenses'!F202</f>
        <v>0</v>
      </c>
      <c r="F655" s="8">
        <f>'Rail Expenses'!G202</f>
        <v>0</v>
      </c>
      <c r="G655" s="8">
        <f>'Rail Expenses'!H202</f>
        <v>0</v>
      </c>
      <c r="H655" s="8">
        <f>'Rail Expenses'!I202</f>
        <v>0</v>
      </c>
      <c r="I655" s="8">
        <f>'Rail Expenses'!J202</f>
        <v>0</v>
      </c>
    </row>
    <row r="656" spans="2:9" ht="9.75" outlineLevel="1">
      <c r="B656" s="22" t="str">
        <f>rail6</f>
        <v>Route 6</v>
      </c>
      <c r="C656" s="6" t="s">
        <v>85</v>
      </c>
      <c r="D656" s="8">
        <f>'Rail Expenses'!E203</f>
        <v>0</v>
      </c>
      <c r="E656" s="8">
        <f>'Rail Expenses'!F203</f>
        <v>0</v>
      </c>
      <c r="F656" s="8">
        <f>'Rail Expenses'!G203</f>
        <v>0</v>
      </c>
      <c r="G656" s="8">
        <f>'Rail Expenses'!H203</f>
        <v>0</v>
      </c>
      <c r="H656" s="8">
        <f>'Rail Expenses'!I203</f>
        <v>0</v>
      </c>
      <c r="I656" s="8">
        <f>'Rail Expenses'!J203</f>
        <v>0</v>
      </c>
    </row>
    <row r="657" spans="2:9" ht="9.75" outlineLevel="1">
      <c r="B657" s="22" t="str">
        <f>rail7</f>
        <v>Route 7</v>
      </c>
      <c r="C657" s="6" t="s">
        <v>85</v>
      </c>
      <c r="D657" s="8">
        <f>'Rail Expenses'!E204</f>
        <v>0</v>
      </c>
      <c r="E657" s="8">
        <f>'Rail Expenses'!F204</f>
        <v>0</v>
      </c>
      <c r="F657" s="8">
        <f>'Rail Expenses'!G204</f>
        <v>0</v>
      </c>
      <c r="G657" s="8">
        <f>'Rail Expenses'!H204</f>
        <v>0</v>
      </c>
      <c r="H657" s="8">
        <f>'Rail Expenses'!I204</f>
        <v>0</v>
      </c>
      <c r="I657" s="8">
        <f>'Rail Expenses'!J204</f>
        <v>0</v>
      </c>
    </row>
    <row r="658" spans="2:9" ht="9.75" outlineLevel="1">
      <c r="B658" s="22" t="str">
        <f>rail8</f>
        <v>Route 8</v>
      </c>
      <c r="C658" s="6" t="s">
        <v>85</v>
      </c>
      <c r="D658" s="8">
        <f>'Rail Expenses'!E205</f>
        <v>0</v>
      </c>
      <c r="E658" s="8">
        <f>'Rail Expenses'!F205</f>
        <v>0</v>
      </c>
      <c r="F658" s="8">
        <f>'Rail Expenses'!G205</f>
        <v>0</v>
      </c>
      <c r="G658" s="8">
        <f>'Rail Expenses'!H205</f>
        <v>0</v>
      </c>
      <c r="H658" s="8">
        <f>'Rail Expenses'!I205</f>
        <v>0</v>
      </c>
      <c r="I658" s="8">
        <f>'Rail Expenses'!J205</f>
        <v>0</v>
      </c>
    </row>
    <row r="659" spans="2:9" ht="9.75" outlineLevel="1">
      <c r="B659" s="22" t="str">
        <f>rail9</f>
        <v>Route 9</v>
      </c>
      <c r="C659" s="6" t="s">
        <v>85</v>
      </c>
      <c r="D659" s="8">
        <f>'Rail Expenses'!E206</f>
        <v>0</v>
      </c>
      <c r="E659" s="8">
        <f>'Rail Expenses'!F206</f>
        <v>0</v>
      </c>
      <c r="F659" s="8">
        <f>'Rail Expenses'!G206</f>
        <v>0</v>
      </c>
      <c r="G659" s="8">
        <f>'Rail Expenses'!H206</f>
        <v>0</v>
      </c>
      <c r="H659" s="8">
        <f>'Rail Expenses'!I206</f>
        <v>0</v>
      </c>
      <c r="I659" s="8">
        <f>'Rail Expenses'!J206</f>
        <v>0</v>
      </c>
    </row>
    <row r="660" spans="2:9" ht="9.75" outlineLevel="1">
      <c r="B660" s="22" t="str">
        <f>rail10</f>
        <v>Route 10</v>
      </c>
      <c r="C660" s="6" t="s">
        <v>85</v>
      </c>
      <c r="D660" s="8">
        <f>'Rail Expenses'!E207</f>
        <v>0</v>
      </c>
      <c r="E660" s="8">
        <f>'Rail Expenses'!F207</f>
        <v>0</v>
      </c>
      <c r="F660" s="8">
        <f>'Rail Expenses'!G207</f>
        <v>0</v>
      </c>
      <c r="G660" s="8">
        <f>'Rail Expenses'!H207</f>
        <v>0</v>
      </c>
      <c r="H660" s="8">
        <f>'Rail Expenses'!I207</f>
        <v>0</v>
      </c>
      <c r="I660" s="8">
        <f>'Rail Expenses'!J207</f>
        <v>0</v>
      </c>
    </row>
    <row r="661" spans="2:9" ht="9.75" outlineLevel="1">
      <c r="B661" s="22" t="str">
        <f>rail11</f>
        <v>Route 11</v>
      </c>
      <c r="C661" s="6" t="s">
        <v>85</v>
      </c>
      <c r="D661" s="8">
        <f>'Rail Expenses'!E208</f>
        <v>0</v>
      </c>
      <c r="E661" s="8">
        <f>'Rail Expenses'!F208</f>
        <v>0</v>
      </c>
      <c r="F661" s="8">
        <f>'Rail Expenses'!G208</f>
        <v>0</v>
      </c>
      <c r="G661" s="8">
        <f>'Rail Expenses'!H208</f>
        <v>0</v>
      </c>
      <c r="H661" s="8">
        <f>'Rail Expenses'!I208</f>
        <v>0</v>
      </c>
      <c r="I661" s="8">
        <f>'Rail Expenses'!J208</f>
        <v>0</v>
      </c>
    </row>
    <row r="662" spans="2:9" ht="9.75" outlineLevel="1">
      <c r="B662" s="22" t="str">
        <f>rail12</f>
        <v>Route 12</v>
      </c>
      <c r="C662" s="6" t="s">
        <v>85</v>
      </c>
      <c r="D662" s="8">
        <f>'Rail Expenses'!E209</f>
        <v>0</v>
      </c>
      <c r="E662" s="8">
        <f>'Rail Expenses'!F209</f>
        <v>0</v>
      </c>
      <c r="F662" s="8">
        <f>'Rail Expenses'!G209</f>
        <v>0</v>
      </c>
      <c r="G662" s="8">
        <f>'Rail Expenses'!H209</f>
        <v>0</v>
      </c>
      <c r="H662" s="8">
        <f>'Rail Expenses'!I209</f>
        <v>0</v>
      </c>
      <c r="I662" s="8">
        <f>'Rail Expenses'!J209</f>
        <v>0</v>
      </c>
    </row>
    <row r="663" spans="2:9" ht="9.75" outlineLevel="1">
      <c r="B663" s="22" t="str">
        <f>rail13</f>
        <v>Route 13</v>
      </c>
      <c r="C663" s="6" t="s">
        <v>85</v>
      </c>
      <c r="D663" s="8">
        <f>'Rail Expenses'!E210</f>
        <v>0</v>
      </c>
      <c r="E663" s="8">
        <f>'Rail Expenses'!F210</f>
        <v>0</v>
      </c>
      <c r="F663" s="8">
        <f>'Rail Expenses'!G210</f>
        <v>0</v>
      </c>
      <c r="G663" s="8">
        <f>'Rail Expenses'!H210</f>
        <v>0</v>
      </c>
      <c r="H663" s="8">
        <f>'Rail Expenses'!I210</f>
        <v>0</v>
      </c>
      <c r="I663" s="8">
        <f>'Rail Expenses'!J210</f>
        <v>0</v>
      </c>
    </row>
    <row r="664" spans="2:9" ht="9.75" outlineLevel="1">
      <c r="B664" s="22" t="str">
        <f>rail14</f>
        <v>Route 14</v>
      </c>
      <c r="C664" s="6" t="s">
        <v>85</v>
      </c>
      <c r="D664" s="8">
        <f>'Rail Expenses'!E211</f>
        <v>0</v>
      </c>
      <c r="E664" s="8">
        <f>'Rail Expenses'!F211</f>
        <v>0</v>
      </c>
      <c r="F664" s="8">
        <f>'Rail Expenses'!G211</f>
        <v>0</v>
      </c>
      <c r="G664" s="8">
        <f>'Rail Expenses'!H211</f>
        <v>0</v>
      </c>
      <c r="H664" s="8">
        <f>'Rail Expenses'!I211</f>
        <v>0</v>
      </c>
      <c r="I664" s="8">
        <f>'Rail Expenses'!J211</f>
        <v>0</v>
      </c>
    </row>
    <row r="665" spans="2:9" ht="9.75" outlineLevel="1">
      <c r="B665" s="22" t="str">
        <f>rail15</f>
        <v>Route 15</v>
      </c>
      <c r="C665" s="6" t="s">
        <v>85</v>
      </c>
      <c r="D665" s="8">
        <f>'Rail Expenses'!E212</f>
        <v>0</v>
      </c>
      <c r="E665" s="8">
        <f>'Rail Expenses'!F212</f>
        <v>0</v>
      </c>
      <c r="F665" s="8">
        <f>'Rail Expenses'!G212</f>
        <v>0</v>
      </c>
      <c r="G665" s="8">
        <f>'Rail Expenses'!H212</f>
        <v>0</v>
      </c>
      <c r="H665" s="8">
        <f>'Rail Expenses'!I212</f>
        <v>0</v>
      </c>
      <c r="I665" s="8">
        <f>'Rail Expenses'!J212</f>
        <v>0</v>
      </c>
    </row>
    <row r="666" spans="2:9" ht="9.75" outlineLevel="1">
      <c r="B666" s="22" t="str">
        <f>rail16</f>
        <v>Route 16</v>
      </c>
      <c r="C666" s="6" t="s">
        <v>85</v>
      </c>
      <c r="D666" s="8">
        <f>'Rail Expenses'!E213</f>
        <v>0</v>
      </c>
      <c r="E666" s="8">
        <f>'Rail Expenses'!F213</f>
        <v>0</v>
      </c>
      <c r="F666" s="8">
        <f>'Rail Expenses'!G213</f>
        <v>0</v>
      </c>
      <c r="G666" s="8">
        <f>'Rail Expenses'!H213</f>
        <v>0</v>
      </c>
      <c r="H666" s="8">
        <f>'Rail Expenses'!I213</f>
        <v>0</v>
      </c>
      <c r="I666" s="8">
        <f>'Rail Expenses'!J213</f>
        <v>0</v>
      </c>
    </row>
    <row r="667" spans="2:9" ht="9.75" outlineLevel="1">
      <c r="B667" s="22" t="str">
        <f>rail17</f>
        <v>Route 17</v>
      </c>
      <c r="C667" s="6" t="s">
        <v>85</v>
      </c>
      <c r="D667" s="8">
        <f>'Rail Expenses'!E214</f>
        <v>0</v>
      </c>
      <c r="E667" s="8">
        <f>'Rail Expenses'!F214</f>
        <v>0</v>
      </c>
      <c r="F667" s="8">
        <f>'Rail Expenses'!G214</f>
        <v>0</v>
      </c>
      <c r="G667" s="8">
        <f>'Rail Expenses'!H214</f>
        <v>0</v>
      </c>
      <c r="H667" s="8">
        <f>'Rail Expenses'!I214</f>
        <v>0</v>
      </c>
      <c r="I667" s="8">
        <f>'Rail Expenses'!J214</f>
        <v>0</v>
      </c>
    </row>
    <row r="668" spans="2:9" ht="9.75" outlineLevel="1">
      <c r="B668" s="22" t="str">
        <f>rail18</f>
        <v>Route 18</v>
      </c>
      <c r="C668" s="6" t="s">
        <v>85</v>
      </c>
      <c r="D668" s="8">
        <f>'Rail Expenses'!E215</f>
        <v>0</v>
      </c>
      <c r="E668" s="8">
        <f>'Rail Expenses'!F215</f>
        <v>0</v>
      </c>
      <c r="F668" s="8">
        <f>'Rail Expenses'!G215</f>
        <v>0</v>
      </c>
      <c r="G668" s="8">
        <f>'Rail Expenses'!H215</f>
        <v>0</v>
      </c>
      <c r="H668" s="8">
        <f>'Rail Expenses'!I215</f>
        <v>0</v>
      </c>
      <c r="I668" s="8">
        <f>'Rail Expenses'!J215</f>
        <v>0</v>
      </c>
    </row>
    <row r="669" spans="2:9" ht="9.75" outlineLevel="1">
      <c r="B669" s="22" t="str">
        <f>rail19</f>
        <v>Route 19</v>
      </c>
      <c r="C669" s="6" t="s">
        <v>85</v>
      </c>
      <c r="D669" s="8">
        <f>'Rail Expenses'!E216</f>
        <v>0</v>
      </c>
      <c r="E669" s="8">
        <f>'Rail Expenses'!F216</f>
        <v>0</v>
      </c>
      <c r="F669" s="8">
        <f>'Rail Expenses'!G216</f>
        <v>0</v>
      </c>
      <c r="G669" s="8">
        <f>'Rail Expenses'!H216</f>
        <v>0</v>
      </c>
      <c r="H669" s="8">
        <f>'Rail Expenses'!I216</f>
        <v>0</v>
      </c>
      <c r="I669" s="8">
        <f>'Rail Expenses'!J216</f>
        <v>0</v>
      </c>
    </row>
    <row r="670" spans="2:9" ht="9.75" outlineLevel="1">
      <c r="B670" s="22" t="str">
        <f>rail20</f>
        <v>Route 20</v>
      </c>
      <c r="C670" s="6" t="s">
        <v>85</v>
      </c>
      <c r="D670" s="8">
        <f>'Rail Expenses'!E217</f>
        <v>0</v>
      </c>
      <c r="E670" s="8">
        <f>'Rail Expenses'!F217</f>
        <v>0</v>
      </c>
      <c r="F670" s="8">
        <f>'Rail Expenses'!G217</f>
        <v>0</v>
      </c>
      <c r="G670" s="8">
        <f>'Rail Expenses'!H217</f>
        <v>0</v>
      </c>
      <c r="H670" s="8">
        <f>'Rail Expenses'!I217</f>
        <v>0</v>
      </c>
      <c r="I670" s="8">
        <f>'Rail Expenses'!J217</f>
        <v>0</v>
      </c>
    </row>
    <row r="671" spans="2:9" ht="9.75" outlineLevel="1">
      <c r="B671" s="1" t="s">
        <v>284</v>
      </c>
      <c r="C671" s="6" t="s">
        <v>85</v>
      </c>
      <c r="D671" s="170">
        <f aca="true" t="shared" si="42" ref="D671:I671">SUM(D651:D670)</f>
        <v>41438396</v>
      </c>
      <c r="E671" s="170">
        <f t="shared" si="42"/>
        <v>42681547.88</v>
      </c>
      <c r="F671" s="170">
        <f t="shared" si="42"/>
        <v>43961994.3164</v>
      </c>
      <c r="G671" s="170">
        <f t="shared" si="42"/>
        <v>45280854.145892</v>
      </c>
      <c r="H671" s="170">
        <f t="shared" si="42"/>
        <v>46639279.77026877</v>
      </c>
      <c r="I671" s="170">
        <f t="shared" si="42"/>
        <v>48038458.16337682</v>
      </c>
    </row>
    <row r="672" ht="9.75" outlineLevel="1"/>
    <row r="673" spans="2:9" ht="9.75" outlineLevel="1">
      <c r="B673" s="2" t="s">
        <v>258</v>
      </c>
      <c r="C673" s="6" t="s">
        <v>85</v>
      </c>
      <c r="D673" s="30">
        <f aca="true" t="shared" si="43" ref="D673:I673">D625+D648+D671</f>
        <v>58542689</v>
      </c>
      <c r="E673" s="30">
        <f t="shared" si="43"/>
        <v>60298969.67</v>
      </c>
      <c r="F673" s="30">
        <f t="shared" si="43"/>
        <v>62107938.7601</v>
      </c>
      <c r="G673" s="30">
        <f t="shared" si="43"/>
        <v>63971176.922903</v>
      </c>
      <c r="H673" s="30">
        <f t="shared" si="43"/>
        <v>65890312.230590105</v>
      </c>
      <c r="I673" s="30">
        <f t="shared" si="43"/>
        <v>67867021.59750779</v>
      </c>
    </row>
    <row r="674" ht="9.75" outlineLevel="1"/>
    <row r="675" spans="1:2" ht="9.75">
      <c r="A675" s="198" t="str">
        <f>HYPERLINK(CONCATENATE(workbookname,"$A$7"),"Top")</f>
        <v>Top</v>
      </c>
      <c r="B675" s="3" t="str">
        <f>Contents!B102</f>
        <v>Asymmetric Risk Cost</v>
      </c>
    </row>
    <row r="676" ht="9.75">
      <c r="B676" s="171" t="str">
        <f>Contents!D102</f>
        <v>The asymmetric risk that is allocated to ceiling costing on the rail network</v>
      </c>
    </row>
    <row r="677" ht="9.75" outlineLevel="1"/>
    <row r="678" ht="9.75" outlineLevel="1">
      <c r="B678" s="2" t="s">
        <v>259</v>
      </c>
    </row>
    <row r="679" spans="2:9" ht="9.75" outlineLevel="1">
      <c r="B679" s="22" t="str">
        <f>rail1</f>
        <v>Cloudbreak to Port Dumper</v>
      </c>
      <c r="C679" s="6" t="s">
        <v>85</v>
      </c>
      <c r="D679" s="8">
        <f>'Rail Asset Calcs'!I72</f>
        <v>2490007</v>
      </c>
      <c r="E679" s="8">
        <f>'Rail Asset Calcs'!J72</f>
        <v>2564707.21</v>
      </c>
      <c r="F679" s="8">
        <f>'Rail Asset Calcs'!K72</f>
        <v>2641648.4263</v>
      </c>
      <c r="G679" s="8">
        <f>'Rail Asset Calcs'!L72</f>
        <v>2720897.879089</v>
      </c>
      <c r="H679" s="8">
        <f>'Rail Asset Calcs'!M72</f>
        <v>2802524.8154616705</v>
      </c>
      <c r="I679" s="8">
        <f>'Rail Asset Calcs'!N72</f>
        <v>2886600.5599255203</v>
      </c>
    </row>
    <row r="680" spans="2:9" ht="9.75" outlineLevel="1">
      <c r="B680" s="22" t="str">
        <f>rail2</f>
        <v>Route 2</v>
      </c>
      <c r="C680" s="6" t="s">
        <v>85</v>
      </c>
      <c r="D680" s="8">
        <f>'Rail Asset Calcs'!I73</f>
        <v>0</v>
      </c>
      <c r="E680" s="8">
        <f>'Rail Asset Calcs'!J73</f>
        <v>0</v>
      </c>
      <c r="F680" s="8">
        <f>'Rail Asset Calcs'!K73</f>
        <v>0</v>
      </c>
      <c r="G680" s="8">
        <f>'Rail Asset Calcs'!L73</f>
        <v>0</v>
      </c>
      <c r="H680" s="8">
        <f>'Rail Asset Calcs'!M73</f>
        <v>0</v>
      </c>
      <c r="I680" s="8">
        <f>'Rail Asset Calcs'!N73</f>
        <v>0</v>
      </c>
    </row>
    <row r="681" spans="2:9" ht="9.75" outlineLevel="1">
      <c r="B681" s="22" t="str">
        <f>rail3</f>
        <v>Route 3</v>
      </c>
      <c r="C681" s="6" t="s">
        <v>85</v>
      </c>
      <c r="D681" s="8">
        <f>'Rail Asset Calcs'!I74</f>
        <v>0</v>
      </c>
      <c r="E681" s="8">
        <f>'Rail Asset Calcs'!J74</f>
        <v>0</v>
      </c>
      <c r="F681" s="8">
        <f>'Rail Asset Calcs'!K74</f>
        <v>0</v>
      </c>
      <c r="G681" s="8">
        <f>'Rail Asset Calcs'!L74</f>
        <v>0</v>
      </c>
      <c r="H681" s="8">
        <f>'Rail Asset Calcs'!M74</f>
        <v>0</v>
      </c>
      <c r="I681" s="8">
        <f>'Rail Asset Calcs'!N74</f>
        <v>0</v>
      </c>
    </row>
    <row r="682" spans="2:9" ht="9.75" outlineLevel="1">
      <c r="B682" s="22" t="str">
        <f>rail4</f>
        <v>Route 4</v>
      </c>
      <c r="C682" s="6" t="s">
        <v>85</v>
      </c>
      <c r="D682" s="8">
        <f>'Rail Asset Calcs'!I75</f>
        <v>0</v>
      </c>
      <c r="E682" s="8">
        <f>'Rail Asset Calcs'!J75</f>
        <v>0</v>
      </c>
      <c r="F682" s="8">
        <f>'Rail Asset Calcs'!K75</f>
        <v>0</v>
      </c>
      <c r="G682" s="8">
        <f>'Rail Asset Calcs'!L75</f>
        <v>0</v>
      </c>
      <c r="H682" s="8">
        <f>'Rail Asset Calcs'!M75</f>
        <v>0</v>
      </c>
      <c r="I682" s="8">
        <f>'Rail Asset Calcs'!N75</f>
        <v>0</v>
      </c>
    </row>
    <row r="683" spans="2:9" ht="9.75" outlineLevel="1">
      <c r="B683" s="22" t="str">
        <f>rail5</f>
        <v>Route 5</v>
      </c>
      <c r="C683" s="6" t="s">
        <v>85</v>
      </c>
      <c r="D683" s="8">
        <f>'Rail Asset Calcs'!I76</f>
        <v>0</v>
      </c>
      <c r="E683" s="8">
        <f>'Rail Asset Calcs'!J76</f>
        <v>0</v>
      </c>
      <c r="F683" s="8">
        <f>'Rail Asset Calcs'!K76</f>
        <v>0</v>
      </c>
      <c r="G683" s="8">
        <f>'Rail Asset Calcs'!L76</f>
        <v>0</v>
      </c>
      <c r="H683" s="8">
        <f>'Rail Asset Calcs'!M76</f>
        <v>0</v>
      </c>
      <c r="I683" s="8">
        <f>'Rail Asset Calcs'!N76</f>
        <v>0</v>
      </c>
    </row>
    <row r="684" spans="2:9" ht="9.75" outlineLevel="1">
      <c r="B684" s="22" t="str">
        <f>rail6</f>
        <v>Route 6</v>
      </c>
      <c r="C684" s="6" t="s">
        <v>85</v>
      </c>
      <c r="D684" s="8">
        <f>'Rail Asset Calcs'!I77</f>
        <v>0</v>
      </c>
      <c r="E684" s="8">
        <f>'Rail Asset Calcs'!J77</f>
        <v>0</v>
      </c>
      <c r="F684" s="8">
        <f>'Rail Asset Calcs'!K77</f>
        <v>0</v>
      </c>
      <c r="G684" s="8">
        <f>'Rail Asset Calcs'!L77</f>
        <v>0</v>
      </c>
      <c r="H684" s="8">
        <f>'Rail Asset Calcs'!M77</f>
        <v>0</v>
      </c>
      <c r="I684" s="8">
        <f>'Rail Asset Calcs'!N77</f>
        <v>0</v>
      </c>
    </row>
    <row r="685" spans="2:9" ht="9.75" outlineLevel="1">
      <c r="B685" s="22" t="str">
        <f>rail7</f>
        <v>Route 7</v>
      </c>
      <c r="C685" s="6" t="s">
        <v>85</v>
      </c>
      <c r="D685" s="8">
        <f>'Rail Asset Calcs'!I78</f>
        <v>0</v>
      </c>
      <c r="E685" s="8">
        <f>'Rail Asset Calcs'!J78</f>
        <v>0</v>
      </c>
      <c r="F685" s="8">
        <f>'Rail Asset Calcs'!K78</f>
        <v>0</v>
      </c>
      <c r="G685" s="8">
        <f>'Rail Asset Calcs'!L78</f>
        <v>0</v>
      </c>
      <c r="H685" s="8">
        <f>'Rail Asset Calcs'!M78</f>
        <v>0</v>
      </c>
      <c r="I685" s="8">
        <f>'Rail Asset Calcs'!N78</f>
        <v>0</v>
      </c>
    </row>
    <row r="686" spans="2:9" ht="9.75" outlineLevel="1">
      <c r="B686" s="22" t="str">
        <f>rail8</f>
        <v>Route 8</v>
      </c>
      <c r="C686" s="6" t="s">
        <v>85</v>
      </c>
      <c r="D686" s="8">
        <f>'Rail Asset Calcs'!I79</f>
        <v>0</v>
      </c>
      <c r="E686" s="8">
        <f>'Rail Asset Calcs'!J79</f>
        <v>0</v>
      </c>
      <c r="F686" s="8">
        <f>'Rail Asset Calcs'!K79</f>
        <v>0</v>
      </c>
      <c r="G686" s="8">
        <f>'Rail Asset Calcs'!L79</f>
        <v>0</v>
      </c>
      <c r="H686" s="8">
        <f>'Rail Asset Calcs'!M79</f>
        <v>0</v>
      </c>
      <c r="I686" s="8">
        <f>'Rail Asset Calcs'!N79</f>
        <v>0</v>
      </c>
    </row>
    <row r="687" spans="2:9" ht="9.75" outlineLevel="1">
      <c r="B687" s="22" t="str">
        <f>rail9</f>
        <v>Route 9</v>
      </c>
      <c r="C687" s="6" t="s">
        <v>85</v>
      </c>
      <c r="D687" s="8">
        <f>'Rail Asset Calcs'!I80</f>
        <v>0</v>
      </c>
      <c r="E687" s="8">
        <f>'Rail Asset Calcs'!J80</f>
        <v>0</v>
      </c>
      <c r="F687" s="8">
        <f>'Rail Asset Calcs'!K80</f>
        <v>0</v>
      </c>
      <c r="G687" s="8">
        <f>'Rail Asset Calcs'!L80</f>
        <v>0</v>
      </c>
      <c r="H687" s="8">
        <f>'Rail Asset Calcs'!M80</f>
        <v>0</v>
      </c>
      <c r="I687" s="8">
        <f>'Rail Asset Calcs'!N80</f>
        <v>0</v>
      </c>
    </row>
    <row r="688" spans="2:9" ht="9.75" outlineLevel="1">
      <c r="B688" s="22" t="str">
        <f>rail10</f>
        <v>Route 10</v>
      </c>
      <c r="C688" s="6" t="s">
        <v>85</v>
      </c>
      <c r="D688" s="8">
        <f>'Rail Asset Calcs'!I81</f>
        <v>0</v>
      </c>
      <c r="E688" s="8">
        <f>'Rail Asset Calcs'!J81</f>
        <v>0</v>
      </c>
      <c r="F688" s="8">
        <f>'Rail Asset Calcs'!K81</f>
        <v>0</v>
      </c>
      <c r="G688" s="8">
        <f>'Rail Asset Calcs'!L81</f>
        <v>0</v>
      </c>
      <c r="H688" s="8">
        <f>'Rail Asset Calcs'!M81</f>
        <v>0</v>
      </c>
      <c r="I688" s="8">
        <f>'Rail Asset Calcs'!N81</f>
        <v>0</v>
      </c>
    </row>
    <row r="689" spans="2:9" ht="9.75" outlineLevel="1">
      <c r="B689" s="22" t="str">
        <f>rail11</f>
        <v>Route 11</v>
      </c>
      <c r="C689" s="6" t="s">
        <v>85</v>
      </c>
      <c r="D689" s="8">
        <f>'Rail Asset Calcs'!I82</f>
        <v>0</v>
      </c>
      <c r="E689" s="8">
        <f>'Rail Asset Calcs'!J82</f>
        <v>0</v>
      </c>
      <c r="F689" s="8">
        <f>'Rail Asset Calcs'!K82</f>
        <v>0</v>
      </c>
      <c r="G689" s="8">
        <f>'Rail Asset Calcs'!L82</f>
        <v>0</v>
      </c>
      <c r="H689" s="8">
        <f>'Rail Asset Calcs'!M82</f>
        <v>0</v>
      </c>
      <c r="I689" s="8">
        <f>'Rail Asset Calcs'!N82</f>
        <v>0</v>
      </c>
    </row>
    <row r="690" spans="2:9" ht="9.75" outlineLevel="1">
      <c r="B690" s="22" t="str">
        <f>rail12</f>
        <v>Route 12</v>
      </c>
      <c r="C690" s="6" t="s">
        <v>85</v>
      </c>
      <c r="D690" s="8">
        <f>'Rail Asset Calcs'!I83</f>
        <v>0</v>
      </c>
      <c r="E690" s="8">
        <f>'Rail Asset Calcs'!J83</f>
        <v>0</v>
      </c>
      <c r="F690" s="8">
        <f>'Rail Asset Calcs'!K83</f>
        <v>0</v>
      </c>
      <c r="G690" s="8">
        <f>'Rail Asset Calcs'!L83</f>
        <v>0</v>
      </c>
      <c r="H690" s="8">
        <f>'Rail Asset Calcs'!M83</f>
        <v>0</v>
      </c>
      <c r="I690" s="8">
        <f>'Rail Asset Calcs'!N83</f>
        <v>0</v>
      </c>
    </row>
    <row r="691" spans="2:9" ht="9.75" outlineLevel="1">
      <c r="B691" s="22" t="str">
        <f>rail13</f>
        <v>Route 13</v>
      </c>
      <c r="C691" s="6" t="s">
        <v>85</v>
      </c>
      <c r="D691" s="8">
        <f>'Rail Asset Calcs'!I84</f>
        <v>0</v>
      </c>
      <c r="E691" s="8">
        <f>'Rail Asset Calcs'!J84</f>
        <v>0</v>
      </c>
      <c r="F691" s="8">
        <f>'Rail Asset Calcs'!K84</f>
        <v>0</v>
      </c>
      <c r="G691" s="8">
        <f>'Rail Asset Calcs'!L84</f>
        <v>0</v>
      </c>
      <c r="H691" s="8">
        <f>'Rail Asset Calcs'!M84</f>
        <v>0</v>
      </c>
      <c r="I691" s="8">
        <f>'Rail Asset Calcs'!N84</f>
        <v>0</v>
      </c>
    </row>
    <row r="692" spans="2:9" ht="9.75" outlineLevel="1">
      <c r="B692" s="22" t="str">
        <f>rail14</f>
        <v>Route 14</v>
      </c>
      <c r="C692" s="6" t="s">
        <v>85</v>
      </c>
      <c r="D692" s="8">
        <f>'Rail Asset Calcs'!I85</f>
        <v>0</v>
      </c>
      <c r="E692" s="8">
        <f>'Rail Asset Calcs'!J85</f>
        <v>0</v>
      </c>
      <c r="F692" s="8">
        <f>'Rail Asset Calcs'!K85</f>
        <v>0</v>
      </c>
      <c r="G692" s="8">
        <f>'Rail Asset Calcs'!L85</f>
        <v>0</v>
      </c>
      <c r="H692" s="8">
        <f>'Rail Asset Calcs'!M85</f>
        <v>0</v>
      </c>
      <c r="I692" s="8">
        <f>'Rail Asset Calcs'!N85</f>
        <v>0</v>
      </c>
    </row>
    <row r="693" spans="2:9" ht="9.75" outlineLevel="1">
      <c r="B693" s="22" t="str">
        <f>rail15</f>
        <v>Route 15</v>
      </c>
      <c r="C693" s="6" t="s">
        <v>85</v>
      </c>
      <c r="D693" s="8">
        <f>'Rail Asset Calcs'!I86</f>
        <v>0</v>
      </c>
      <c r="E693" s="8">
        <f>'Rail Asset Calcs'!J86</f>
        <v>0</v>
      </c>
      <c r="F693" s="8">
        <f>'Rail Asset Calcs'!K86</f>
        <v>0</v>
      </c>
      <c r="G693" s="8">
        <f>'Rail Asset Calcs'!L86</f>
        <v>0</v>
      </c>
      <c r="H693" s="8">
        <f>'Rail Asset Calcs'!M86</f>
        <v>0</v>
      </c>
      <c r="I693" s="8">
        <f>'Rail Asset Calcs'!N86</f>
        <v>0</v>
      </c>
    </row>
    <row r="694" spans="2:9" ht="9.75" outlineLevel="1">
      <c r="B694" s="22" t="str">
        <f>rail16</f>
        <v>Route 16</v>
      </c>
      <c r="C694" s="6" t="s">
        <v>85</v>
      </c>
      <c r="D694" s="8">
        <f>'Rail Asset Calcs'!I87</f>
        <v>0</v>
      </c>
      <c r="E694" s="8">
        <f>'Rail Asset Calcs'!J87</f>
        <v>0</v>
      </c>
      <c r="F694" s="8">
        <f>'Rail Asset Calcs'!K87</f>
        <v>0</v>
      </c>
      <c r="G694" s="8">
        <f>'Rail Asset Calcs'!L87</f>
        <v>0</v>
      </c>
      <c r="H694" s="8">
        <f>'Rail Asset Calcs'!M87</f>
        <v>0</v>
      </c>
      <c r="I694" s="8">
        <f>'Rail Asset Calcs'!N87</f>
        <v>0</v>
      </c>
    </row>
    <row r="695" spans="2:9" ht="9.75" outlineLevel="1">
      <c r="B695" s="22" t="str">
        <f>rail17</f>
        <v>Route 17</v>
      </c>
      <c r="C695" s="6" t="s">
        <v>85</v>
      </c>
      <c r="D695" s="8">
        <f>'Rail Asset Calcs'!I88</f>
        <v>0</v>
      </c>
      <c r="E695" s="8">
        <f>'Rail Asset Calcs'!J88</f>
        <v>0</v>
      </c>
      <c r="F695" s="8">
        <f>'Rail Asset Calcs'!K88</f>
        <v>0</v>
      </c>
      <c r="G695" s="8">
        <f>'Rail Asset Calcs'!L88</f>
        <v>0</v>
      </c>
      <c r="H695" s="8">
        <f>'Rail Asset Calcs'!M88</f>
        <v>0</v>
      </c>
      <c r="I695" s="8">
        <f>'Rail Asset Calcs'!N88</f>
        <v>0</v>
      </c>
    </row>
    <row r="696" spans="2:9" ht="9.75" outlineLevel="1">
      <c r="B696" s="22" t="str">
        <f>rail18</f>
        <v>Route 18</v>
      </c>
      <c r="C696" s="6" t="s">
        <v>85</v>
      </c>
      <c r="D696" s="8">
        <f>'Rail Asset Calcs'!I89</f>
        <v>0</v>
      </c>
      <c r="E696" s="8">
        <f>'Rail Asset Calcs'!J89</f>
        <v>0</v>
      </c>
      <c r="F696" s="8">
        <f>'Rail Asset Calcs'!K89</f>
        <v>0</v>
      </c>
      <c r="G696" s="8">
        <f>'Rail Asset Calcs'!L89</f>
        <v>0</v>
      </c>
      <c r="H696" s="8">
        <f>'Rail Asset Calcs'!M89</f>
        <v>0</v>
      </c>
      <c r="I696" s="8">
        <f>'Rail Asset Calcs'!N89</f>
        <v>0</v>
      </c>
    </row>
    <row r="697" spans="2:9" ht="9.75" outlineLevel="1">
      <c r="B697" s="22" t="str">
        <f>rail19</f>
        <v>Route 19</v>
      </c>
      <c r="C697" s="6" t="s">
        <v>85</v>
      </c>
      <c r="D697" s="8">
        <f>'Rail Asset Calcs'!I90</f>
        <v>0</v>
      </c>
      <c r="E697" s="8">
        <f>'Rail Asset Calcs'!J90</f>
        <v>0</v>
      </c>
      <c r="F697" s="8">
        <f>'Rail Asset Calcs'!K90</f>
        <v>0</v>
      </c>
      <c r="G697" s="8">
        <f>'Rail Asset Calcs'!L90</f>
        <v>0</v>
      </c>
      <c r="H697" s="8">
        <f>'Rail Asset Calcs'!M90</f>
        <v>0</v>
      </c>
      <c r="I697" s="8">
        <f>'Rail Asset Calcs'!N90</f>
        <v>0</v>
      </c>
    </row>
    <row r="698" spans="2:9" ht="9.75" outlineLevel="1">
      <c r="B698" s="22" t="str">
        <f>rail20</f>
        <v>Route 20</v>
      </c>
      <c r="C698" s="6" t="s">
        <v>85</v>
      </c>
      <c r="D698" s="8">
        <f>'Rail Asset Calcs'!I91</f>
        <v>0</v>
      </c>
      <c r="E698" s="8">
        <f>'Rail Asset Calcs'!J91</f>
        <v>0</v>
      </c>
      <c r="F698" s="8">
        <f>'Rail Asset Calcs'!K91</f>
        <v>0</v>
      </c>
      <c r="G698" s="8">
        <f>'Rail Asset Calcs'!L91</f>
        <v>0</v>
      </c>
      <c r="H698" s="8">
        <f>'Rail Asset Calcs'!M91</f>
        <v>0</v>
      </c>
      <c r="I698" s="8">
        <f>'Rail Asset Calcs'!N91</f>
        <v>0</v>
      </c>
    </row>
    <row r="699" spans="2:9" ht="9.75" outlineLevel="1">
      <c r="B699" s="1" t="s">
        <v>260</v>
      </c>
      <c r="C699" s="6" t="s">
        <v>85</v>
      </c>
      <c r="D699" s="170">
        <f aca="true" t="shared" si="44" ref="D699:I699">SUM(D679:D698)</f>
        <v>2490007</v>
      </c>
      <c r="E699" s="170">
        <f t="shared" si="44"/>
        <v>2564707.21</v>
      </c>
      <c r="F699" s="170">
        <f t="shared" si="44"/>
        <v>2641648.4263</v>
      </c>
      <c r="G699" s="170">
        <f t="shared" si="44"/>
        <v>2720897.879089</v>
      </c>
      <c r="H699" s="170">
        <f t="shared" si="44"/>
        <v>2802524.8154616705</v>
      </c>
      <c r="I699" s="170">
        <f t="shared" si="44"/>
        <v>2886600.5599255203</v>
      </c>
    </row>
    <row r="700" ht="9.75" outlineLevel="1"/>
    <row r="701" spans="2:9" ht="9.75" outlineLevel="1">
      <c r="B701" s="2" t="s">
        <v>261</v>
      </c>
      <c r="C701" s="6" t="s">
        <v>85</v>
      </c>
      <c r="D701" s="30">
        <f aca="true" t="shared" si="45" ref="D701:I701">D699</f>
        <v>2490007</v>
      </c>
      <c r="E701" s="30">
        <f t="shared" si="45"/>
        <v>2564707.21</v>
      </c>
      <c r="F701" s="30">
        <f t="shared" si="45"/>
        <v>2641648.4263</v>
      </c>
      <c r="G701" s="30">
        <f t="shared" si="45"/>
        <v>2720897.879089</v>
      </c>
      <c r="H701" s="30">
        <f t="shared" si="45"/>
        <v>2802524.8154616705</v>
      </c>
      <c r="I701" s="30">
        <f t="shared" si="45"/>
        <v>2886600.5599255203</v>
      </c>
    </row>
    <row r="702" ht="9.75" outlineLevel="1"/>
    <row r="703" spans="1:2" ht="9.75">
      <c r="A703" s="198" t="str">
        <f>HYPERLINK(CONCATENATE(workbookname,"$A$7"),"Top")</f>
        <v>Top</v>
      </c>
      <c r="B703" s="3" t="str">
        <f>Contents!B103</f>
        <v>Total Ceiling Costs</v>
      </c>
    </row>
    <row r="704" ht="9.75">
      <c r="B704" s="171" t="str">
        <f>Contents!D103</f>
        <v>A total of the above totals</v>
      </c>
    </row>
    <row r="705" ht="9.75" outlineLevel="1"/>
    <row r="706" ht="9.75" outlineLevel="1">
      <c r="B706" s="2" t="s">
        <v>292</v>
      </c>
    </row>
    <row r="707" spans="2:9" ht="9.75" outlineLevel="1">
      <c r="B707" s="22" t="str">
        <f>rail1</f>
        <v>Cloudbreak to Port Dumper</v>
      </c>
      <c r="C707" s="6" t="s">
        <v>85</v>
      </c>
      <c r="D707" s="8">
        <f aca="true" t="shared" si="46" ref="D707:I707">SUMIF($B$378:$B$701,$B707,D$378:D$701)</f>
        <v>230930977.77765113</v>
      </c>
      <c r="E707" s="8">
        <f t="shared" si="46"/>
        <v>246301220.30133766</v>
      </c>
      <c r="F707" s="8">
        <f t="shared" si="46"/>
        <v>248187130.60773766</v>
      </c>
      <c r="G707" s="8">
        <f t="shared" si="46"/>
        <v>250129618.22332966</v>
      </c>
      <c r="H707" s="8">
        <f t="shared" si="46"/>
        <v>252130380.46738943</v>
      </c>
      <c r="I707" s="8">
        <f t="shared" si="46"/>
        <v>254191165.57877097</v>
      </c>
    </row>
    <row r="708" spans="2:9" ht="9.75" outlineLevel="1">
      <c r="B708" s="22" t="str">
        <f>rail2</f>
        <v>Route 2</v>
      </c>
      <c r="C708" s="6" t="s">
        <v>85</v>
      </c>
      <c r="D708" s="8">
        <f aca="true" t="shared" si="47" ref="D708:I726">SUMIF($B$378:$B$701,$B708,D$378:D$701)</f>
        <v>0</v>
      </c>
      <c r="E708" s="8">
        <f t="shared" si="47"/>
        <v>0</v>
      </c>
      <c r="F708" s="8">
        <f t="shared" si="47"/>
        <v>0</v>
      </c>
      <c r="G708" s="8">
        <f t="shared" si="47"/>
        <v>0</v>
      </c>
      <c r="H708" s="8">
        <f t="shared" si="47"/>
        <v>0</v>
      </c>
      <c r="I708" s="8">
        <f t="shared" si="47"/>
        <v>0</v>
      </c>
    </row>
    <row r="709" spans="2:9" ht="9.75" outlineLevel="1">
      <c r="B709" s="22" t="str">
        <f>rail3</f>
        <v>Route 3</v>
      </c>
      <c r="C709" s="6" t="s">
        <v>85</v>
      </c>
      <c r="D709" s="8">
        <f t="shared" si="47"/>
        <v>0</v>
      </c>
      <c r="E709" s="8">
        <f t="shared" si="47"/>
        <v>0</v>
      </c>
      <c r="F709" s="8">
        <f t="shared" si="47"/>
        <v>0</v>
      </c>
      <c r="G709" s="8">
        <f t="shared" si="47"/>
        <v>0</v>
      </c>
      <c r="H709" s="8">
        <f t="shared" si="47"/>
        <v>0</v>
      </c>
      <c r="I709" s="8">
        <f t="shared" si="47"/>
        <v>0</v>
      </c>
    </row>
    <row r="710" spans="2:9" ht="9.75" outlineLevel="1">
      <c r="B710" s="22" t="str">
        <f>rail4</f>
        <v>Route 4</v>
      </c>
      <c r="C710" s="6" t="s">
        <v>85</v>
      </c>
      <c r="D710" s="8">
        <f t="shared" si="47"/>
        <v>0</v>
      </c>
      <c r="E710" s="8">
        <f t="shared" si="47"/>
        <v>0</v>
      </c>
      <c r="F710" s="8">
        <f t="shared" si="47"/>
        <v>0</v>
      </c>
      <c r="G710" s="8">
        <f t="shared" si="47"/>
        <v>0</v>
      </c>
      <c r="H710" s="8">
        <f t="shared" si="47"/>
        <v>0</v>
      </c>
      <c r="I710" s="8">
        <f t="shared" si="47"/>
        <v>0</v>
      </c>
    </row>
    <row r="711" spans="2:9" ht="9.75" outlineLevel="1">
      <c r="B711" s="22" t="str">
        <f>rail5</f>
        <v>Route 5</v>
      </c>
      <c r="C711" s="6" t="s">
        <v>85</v>
      </c>
      <c r="D711" s="8">
        <f t="shared" si="47"/>
        <v>0</v>
      </c>
      <c r="E711" s="8">
        <f t="shared" si="47"/>
        <v>0</v>
      </c>
      <c r="F711" s="8">
        <f t="shared" si="47"/>
        <v>0</v>
      </c>
      <c r="G711" s="8">
        <f t="shared" si="47"/>
        <v>0</v>
      </c>
      <c r="H711" s="8">
        <f t="shared" si="47"/>
        <v>0</v>
      </c>
      <c r="I711" s="8">
        <f t="shared" si="47"/>
        <v>0</v>
      </c>
    </row>
    <row r="712" spans="2:9" ht="9.75" outlineLevel="1">
      <c r="B712" s="22" t="str">
        <f>rail6</f>
        <v>Route 6</v>
      </c>
      <c r="C712" s="6" t="s">
        <v>85</v>
      </c>
      <c r="D712" s="8">
        <f t="shared" si="47"/>
        <v>0</v>
      </c>
      <c r="E712" s="8">
        <f t="shared" si="47"/>
        <v>0</v>
      </c>
      <c r="F712" s="8">
        <f t="shared" si="47"/>
        <v>0</v>
      </c>
      <c r="G712" s="8">
        <f t="shared" si="47"/>
        <v>0</v>
      </c>
      <c r="H712" s="8">
        <f t="shared" si="47"/>
        <v>0</v>
      </c>
      <c r="I712" s="8">
        <f t="shared" si="47"/>
        <v>0</v>
      </c>
    </row>
    <row r="713" spans="2:9" ht="9.75" outlineLevel="1">
      <c r="B713" s="22" t="str">
        <f>rail7</f>
        <v>Route 7</v>
      </c>
      <c r="C713" s="6" t="s">
        <v>85</v>
      </c>
      <c r="D713" s="8">
        <f t="shared" si="47"/>
        <v>0</v>
      </c>
      <c r="E713" s="8">
        <f t="shared" si="47"/>
        <v>0</v>
      </c>
      <c r="F713" s="8">
        <f t="shared" si="47"/>
        <v>0</v>
      </c>
      <c r="G713" s="8">
        <f t="shared" si="47"/>
        <v>0</v>
      </c>
      <c r="H713" s="8">
        <f t="shared" si="47"/>
        <v>0</v>
      </c>
      <c r="I713" s="8">
        <f t="shared" si="47"/>
        <v>0</v>
      </c>
    </row>
    <row r="714" spans="2:9" ht="9.75" outlineLevel="1">
      <c r="B714" s="22" t="str">
        <f>rail8</f>
        <v>Route 8</v>
      </c>
      <c r="C714" s="6" t="s">
        <v>85</v>
      </c>
      <c r="D714" s="8">
        <f t="shared" si="47"/>
        <v>0</v>
      </c>
      <c r="E714" s="8">
        <f t="shared" si="47"/>
        <v>0</v>
      </c>
      <c r="F714" s="8">
        <f t="shared" si="47"/>
        <v>0</v>
      </c>
      <c r="G714" s="8">
        <f t="shared" si="47"/>
        <v>0</v>
      </c>
      <c r="H714" s="8">
        <f t="shared" si="47"/>
        <v>0</v>
      </c>
      <c r="I714" s="8">
        <f t="shared" si="47"/>
        <v>0</v>
      </c>
    </row>
    <row r="715" spans="2:9" ht="9.75" outlineLevel="1">
      <c r="B715" s="22" t="str">
        <f>rail9</f>
        <v>Route 9</v>
      </c>
      <c r="C715" s="6" t="s">
        <v>85</v>
      </c>
      <c r="D715" s="8">
        <f t="shared" si="47"/>
        <v>0</v>
      </c>
      <c r="E715" s="8">
        <f t="shared" si="47"/>
        <v>0</v>
      </c>
      <c r="F715" s="8">
        <f t="shared" si="47"/>
        <v>0</v>
      </c>
      <c r="G715" s="8">
        <f t="shared" si="47"/>
        <v>0</v>
      </c>
      <c r="H715" s="8">
        <f t="shared" si="47"/>
        <v>0</v>
      </c>
      <c r="I715" s="8">
        <f t="shared" si="47"/>
        <v>0</v>
      </c>
    </row>
    <row r="716" spans="2:9" ht="9.75" outlineLevel="1">
      <c r="B716" s="22" t="str">
        <f>rail10</f>
        <v>Route 10</v>
      </c>
      <c r="C716" s="6" t="s">
        <v>85</v>
      </c>
      <c r="D716" s="8">
        <f t="shared" si="47"/>
        <v>0</v>
      </c>
      <c r="E716" s="8">
        <f t="shared" si="47"/>
        <v>0</v>
      </c>
      <c r="F716" s="8">
        <f t="shared" si="47"/>
        <v>0</v>
      </c>
      <c r="G716" s="8">
        <f t="shared" si="47"/>
        <v>0</v>
      </c>
      <c r="H716" s="8">
        <f t="shared" si="47"/>
        <v>0</v>
      </c>
      <c r="I716" s="8">
        <f t="shared" si="47"/>
        <v>0</v>
      </c>
    </row>
    <row r="717" spans="2:9" ht="9.75" outlineLevel="1">
      <c r="B717" s="22" t="str">
        <f>rail11</f>
        <v>Route 11</v>
      </c>
      <c r="C717" s="6" t="s">
        <v>85</v>
      </c>
      <c r="D717" s="8">
        <f t="shared" si="47"/>
        <v>0</v>
      </c>
      <c r="E717" s="8">
        <f t="shared" si="47"/>
        <v>0</v>
      </c>
      <c r="F717" s="8">
        <f t="shared" si="47"/>
        <v>0</v>
      </c>
      <c r="G717" s="8">
        <f t="shared" si="47"/>
        <v>0</v>
      </c>
      <c r="H717" s="8">
        <f t="shared" si="47"/>
        <v>0</v>
      </c>
      <c r="I717" s="8">
        <f t="shared" si="47"/>
        <v>0</v>
      </c>
    </row>
    <row r="718" spans="2:9" ht="9.75" outlineLevel="1">
      <c r="B718" s="22" t="str">
        <f>rail12</f>
        <v>Route 12</v>
      </c>
      <c r="C718" s="6" t="s">
        <v>85</v>
      </c>
      <c r="D718" s="8">
        <f t="shared" si="47"/>
        <v>0</v>
      </c>
      <c r="E718" s="8">
        <f t="shared" si="47"/>
        <v>0</v>
      </c>
      <c r="F718" s="8">
        <f t="shared" si="47"/>
        <v>0</v>
      </c>
      <c r="G718" s="8">
        <f t="shared" si="47"/>
        <v>0</v>
      </c>
      <c r="H718" s="8">
        <f t="shared" si="47"/>
        <v>0</v>
      </c>
      <c r="I718" s="8">
        <f t="shared" si="47"/>
        <v>0</v>
      </c>
    </row>
    <row r="719" spans="2:9" ht="9.75" outlineLevel="1">
      <c r="B719" s="22" t="str">
        <f>rail13</f>
        <v>Route 13</v>
      </c>
      <c r="C719" s="6" t="s">
        <v>85</v>
      </c>
      <c r="D719" s="8">
        <f t="shared" si="47"/>
        <v>0</v>
      </c>
      <c r="E719" s="8">
        <f t="shared" si="47"/>
        <v>0</v>
      </c>
      <c r="F719" s="8">
        <f t="shared" si="47"/>
        <v>0</v>
      </c>
      <c r="G719" s="8">
        <f t="shared" si="47"/>
        <v>0</v>
      </c>
      <c r="H719" s="8">
        <f t="shared" si="47"/>
        <v>0</v>
      </c>
      <c r="I719" s="8">
        <f t="shared" si="47"/>
        <v>0</v>
      </c>
    </row>
    <row r="720" spans="2:9" ht="9.75" outlineLevel="1">
      <c r="B720" s="22" t="str">
        <f>rail14</f>
        <v>Route 14</v>
      </c>
      <c r="C720" s="6" t="s">
        <v>85</v>
      </c>
      <c r="D720" s="8">
        <f t="shared" si="47"/>
        <v>0</v>
      </c>
      <c r="E720" s="8">
        <f t="shared" si="47"/>
        <v>0</v>
      </c>
      <c r="F720" s="8">
        <f t="shared" si="47"/>
        <v>0</v>
      </c>
      <c r="G720" s="8">
        <f t="shared" si="47"/>
        <v>0</v>
      </c>
      <c r="H720" s="8">
        <f t="shared" si="47"/>
        <v>0</v>
      </c>
      <c r="I720" s="8">
        <f t="shared" si="47"/>
        <v>0</v>
      </c>
    </row>
    <row r="721" spans="2:9" ht="9.75" outlineLevel="1">
      <c r="B721" s="22" t="str">
        <f>rail15</f>
        <v>Route 15</v>
      </c>
      <c r="C721" s="6" t="s">
        <v>85</v>
      </c>
      <c r="D721" s="8">
        <f t="shared" si="47"/>
        <v>0</v>
      </c>
      <c r="E721" s="8">
        <f t="shared" si="47"/>
        <v>0</v>
      </c>
      <c r="F721" s="8">
        <f t="shared" si="47"/>
        <v>0</v>
      </c>
      <c r="G721" s="8">
        <f t="shared" si="47"/>
        <v>0</v>
      </c>
      <c r="H721" s="8">
        <f t="shared" si="47"/>
        <v>0</v>
      </c>
      <c r="I721" s="8">
        <f t="shared" si="47"/>
        <v>0</v>
      </c>
    </row>
    <row r="722" spans="2:9" ht="9.75" outlineLevel="1">
      <c r="B722" s="22" t="str">
        <f>rail16</f>
        <v>Route 16</v>
      </c>
      <c r="C722" s="6" t="s">
        <v>85</v>
      </c>
      <c r="D722" s="8">
        <f t="shared" si="47"/>
        <v>0</v>
      </c>
      <c r="E722" s="8">
        <f t="shared" si="47"/>
        <v>0</v>
      </c>
      <c r="F722" s="8">
        <f t="shared" si="47"/>
        <v>0</v>
      </c>
      <c r="G722" s="8">
        <f t="shared" si="47"/>
        <v>0</v>
      </c>
      <c r="H722" s="8">
        <f t="shared" si="47"/>
        <v>0</v>
      </c>
      <c r="I722" s="8">
        <f t="shared" si="47"/>
        <v>0</v>
      </c>
    </row>
    <row r="723" spans="2:9" ht="9.75" outlineLevel="1">
      <c r="B723" s="22" t="str">
        <f>rail17</f>
        <v>Route 17</v>
      </c>
      <c r="C723" s="6" t="s">
        <v>85</v>
      </c>
      <c r="D723" s="8">
        <f t="shared" si="47"/>
        <v>0</v>
      </c>
      <c r="E723" s="8">
        <f t="shared" si="47"/>
        <v>0</v>
      </c>
      <c r="F723" s="8">
        <f t="shared" si="47"/>
        <v>0</v>
      </c>
      <c r="G723" s="8">
        <f t="shared" si="47"/>
        <v>0</v>
      </c>
      <c r="H723" s="8">
        <f t="shared" si="47"/>
        <v>0</v>
      </c>
      <c r="I723" s="8">
        <f t="shared" si="47"/>
        <v>0</v>
      </c>
    </row>
    <row r="724" spans="2:9" ht="9.75" outlineLevel="1">
      <c r="B724" s="22" t="str">
        <f>rail18</f>
        <v>Route 18</v>
      </c>
      <c r="C724" s="6" t="s">
        <v>85</v>
      </c>
      <c r="D724" s="8">
        <f t="shared" si="47"/>
        <v>0</v>
      </c>
      <c r="E724" s="8">
        <f t="shared" si="47"/>
        <v>0</v>
      </c>
      <c r="F724" s="8">
        <f t="shared" si="47"/>
        <v>0</v>
      </c>
      <c r="G724" s="8">
        <f t="shared" si="47"/>
        <v>0</v>
      </c>
      <c r="H724" s="8">
        <f t="shared" si="47"/>
        <v>0</v>
      </c>
      <c r="I724" s="8">
        <f t="shared" si="47"/>
        <v>0</v>
      </c>
    </row>
    <row r="725" spans="2:9" ht="9.75" outlineLevel="1">
      <c r="B725" s="22" t="str">
        <f>rail19</f>
        <v>Route 19</v>
      </c>
      <c r="C725" s="6" t="s">
        <v>85</v>
      </c>
      <c r="D725" s="8">
        <f t="shared" si="47"/>
        <v>0</v>
      </c>
      <c r="E725" s="8">
        <f t="shared" si="47"/>
        <v>0</v>
      </c>
      <c r="F725" s="8">
        <f t="shared" si="47"/>
        <v>0</v>
      </c>
      <c r="G725" s="8">
        <f t="shared" si="47"/>
        <v>0</v>
      </c>
      <c r="H725" s="8">
        <f t="shared" si="47"/>
        <v>0</v>
      </c>
      <c r="I725" s="8">
        <f t="shared" si="47"/>
        <v>0</v>
      </c>
    </row>
    <row r="726" spans="2:9" ht="9.75" outlineLevel="1">
      <c r="B726" s="22" t="str">
        <f>rail20</f>
        <v>Route 20</v>
      </c>
      <c r="C726" s="6" t="s">
        <v>85</v>
      </c>
      <c r="D726" s="8">
        <f t="shared" si="47"/>
        <v>0</v>
      </c>
      <c r="E726" s="8">
        <f t="shared" si="47"/>
        <v>0</v>
      </c>
      <c r="F726" s="8">
        <f t="shared" si="47"/>
        <v>0</v>
      </c>
      <c r="G726" s="8">
        <f t="shared" si="47"/>
        <v>0</v>
      </c>
      <c r="H726" s="8">
        <f t="shared" si="47"/>
        <v>0</v>
      </c>
      <c r="I726" s="8">
        <f t="shared" si="47"/>
        <v>0</v>
      </c>
    </row>
    <row r="727" spans="2:9" ht="9.75" outlineLevel="1">
      <c r="B727" s="2" t="s">
        <v>293</v>
      </c>
      <c r="C727" s="6" t="s">
        <v>85</v>
      </c>
      <c r="D727" s="23">
        <f aca="true" t="shared" si="48" ref="D727:I727">SUM(D707:D726)</f>
        <v>230930977.77765113</v>
      </c>
      <c r="E727" s="23">
        <f t="shared" si="48"/>
        <v>246301220.30133766</v>
      </c>
      <c r="F727" s="23">
        <f t="shared" si="48"/>
        <v>248187130.60773766</v>
      </c>
      <c r="G727" s="23">
        <f t="shared" si="48"/>
        <v>250129618.22332966</v>
      </c>
      <c r="H727" s="23">
        <f t="shared" si="48"/>
        <v>252130380.46738943</v>
      </c>
      <c r="I727" s="23">
        <f t="shared" si="48"/>
        <v>254191165.57877097</v>
      </c>
    </row>
    <row r="728" spans="2:9" ht="9.75" outlineLevel="1">
      <c r="B728" s="2"/>
      <c r="D728" s="31"/>
      <c r="E728" s="31"/>
      <c r="F728" s="31"/>
      <c r="G728" s="31"/>
      <c r="H728" s="31"/>
      <c r="I728" s="31"/>
    </row>
    <row r="729" ht="9.75" outlineLevel="1">
      <c r="B729" s="171" t="s">
        <v>266</v>
      </c>
    </row>
    <row r="730" spans="2:9" ht="9.75" outlineLevel="1">
      <c r="B730" s="22" t="s">
        <v>267</v>
      </c>
      <c r="D730" s="17">
        <f aca="true" t="shared" si="49" ref="D730:I730">SUM(D402,D425,D448,D477,D500,D523,D551,D574,D597,D625,D648,D671,D699)</f>
        <v>230930977.77765113</v>
      </c>
      <c r="E730" s="17">
        <f t="shared" si="49"/>
        <v>246301220.30133766</v>
      </c>
      <c r="F730" s="17">
        <f t="shared" si="49"/>
        <v>248187130.60773766</v>
      </c>
      <c r="G730" s="17">
        <f t="shared" si="49"/>
        <v>250129618.22332966</v>
      </c>
      <c r="H730" s="17">
        <f t="shared" si="49"/>
        <v>252130380.46738943</v>
      </c>
      <c r="I730" s="17">
        <f t="shared" si="49"/>
        <v>254191165.57877097</v>
      </c>
    </row>
    <row r="731" spans="2:9" ht="9.75" outlineLevel="1">
      <c r="B731" s="1" t="s">
        <v>264</v>
      </c>
      <c r="D731" s="11">
        <f aca="true" t="shared" si="50" ref="D731:I731">D727-D730</f>
        <v>0</v>
      </c>
      <c r="E731" s="11">
        <f t="shared" si="50"/>
        <v>0</v>
      </c>
      <c r="F731" s="11">
        <f t="shared" si="50"/>
        <v>0</v>
      </c>
      <c r="G731" s="11">
        <f t="shared" si="50"/>
        <v>0</v>
      </c>
      <c r="H731" s="11">
        <f t="shared" si="50"/>
        <v>0</v>
      </c>
      <c r="I731" s="11">
        <f t="shared" si="50"/>
        <v>0</v>
      </c>
    </row>
    <row r="732" spans="4:9" ht="9.75" outlineLevel="1">
      <c r="D732" s="11"/>
      <c r="E732" s="11"/>
      <c r="F732" s="11"/>
      <c r="G732" s="11"/>
      <c r="H732" s="11"/>
      <c r="I732" s="11"/>
    </row>
    <row r="733" ht="9.75" outlineLevel="1">
      <c r="B733" s="171" t="s">
        <v>265</v>
      </c>
    </row>
    <row r="734" spans="2:9" ht="9.75" outlineLevel="1">
      <c r="B734" s="22" t="s">
        <v>37</v>
      </c>
      <c r="D734" s="8">
        <f aca="true" t="shared" si="51" ref="D734:I738">SUMIF($B$378:$B$701,$B734,D$378:D$701)</f>
        <v>165901420.43672562</v>
      </c>
      <c r="E734" s="8">
        <f t="shared" si="51"/>
        <v>165901420.43672562</v>
      </c>
      <c r="F734" s="8">
        <f t="shared" si="51"/>
        <v>165901420.43672562</v>
      </c>
      <c r="G734" s="8">
        <f t="shared" si="51"/>
        <v>165901420.43672562</v>
      </c>
      <c r="H734" s="8">
        <f t="shared" si="51"/>
        <v>165901420.43672562</v>
      </c>
      <c r="I734" s="8">
        <f t="shared" si="51"/>
        <v>165901420.43672562</v>
      </c>
    </row>
    <row r="735" spans="2:9" ht="9.75" outlineLevel="1">
      <c r="B735" s="22" t="s">
        <v>243</v>
      </c>
      <c r="D735" s="8">
        <f t="shared" si="51"/>
        <v>0</v>
      </c>
      <c r="E735" s="8">
        <f t="shared" si="51"/>
        <v>0</v>
      </c>
      <c r="F735" s="8">
        <f t="shared" si="51"/>
        <v>0</v>
      </c>
      <c r="G735" s="8">
        <f t="shared" si="51"/>
        <v>0</v>
      </c>
      <c r="H735" s="8">
        <f t="shared" si="51"/>
        <v>0</v>
      </c>
      <c r="I735" s="8">
        <f t="shared" si="51"/>
        <v>0</v>
      </c>
    </row>
    <row r="736" spans="2:9" ht="9.75" outlineLevel="1">
      <c r="B736" s="22" t="s">
        <v>45</v>
      </c>
      <c r="D736" s="8">
        <f t="shared" si="51"/>
        <v>3996861.3409255287</v>
      </c>
      <c r="E736" s="8">
        <f t="shared" si="51"/>
        <v>17536122.984612033</v>
      </c>
      <c r="F736" s="8">
        <f t="shared" si="51"/>
        <v>17536122.984612033</v>
      </c>
      <c r="G736" s="8">
        <f t="shared" si="51"/>
        <v>17536122.984612033</v>
      </c>
      <c r="H736" s="8">
        <f t="shared" si="51"/>
        <v>17536122.984612033</v>
      </c>
      <c r="I736" s="8">
        <f t="shared" si="51"/>
        <v>17536122.984612033</v>
      </c>
    </row>
    <row r="737" spans="2:9" ht="9.75" outlineLevel="1">
      <c r="B737" s="22" t="s">
        <v>258</v>
      </c>
      <c r="D737" s="8">
        <f t="shared" si="51"/>
        <v>58542689</v>
      </c>
      <c r="E737" s="8">
        <f t="shared" si="51"/>
        <v>60298969.67</v>
      </c>
      <c r="F737" s="8">
        <f t="shared" si="51"/>
        <v>62107938.7601</v>
      </c>
      <c r="G737" s="8">
        <f t="shared" si="51"/>
        <v>63971176.922903</v>
      </c>
      <c r="H737" s="8">
        <f t="shared" si="51"/>
        <v>65890312.230590105</v>
      </c>
      <c r="I737" s="8">
        <f t="shared" si="51"/>
        <v>67867021.59750779</v>
      </c>
    </row>
    <row r="738" spans="2:9" ht="9.75" outlineLevel="1">
      <c r="B738" s="22" t="s">
        <v>261</v>
      </c>
      <c r="D738" s="8">
        <f t="shared" si="51"/>
        <v>2490007</v>
      </c>
      <c r="E738" s="8">
        <f t="shared" si="51"/>
        <v>2564707.21</v>
      </c>
      <c r="F738" s="8">
        <f t="shared" si="51"/>
        <v>2641648.4263</v>
      </c>
      <c r="G738" s="8">
        <f t="shared" si="51"/>
        <v>2720897.879089</v>
      </c>
      <c r="H738" s="8">
        <f t="shared" si="51"/>
        <v>2802524.8154616705</v>
      </c>
      <c r="I738" s="8">
        <f t="shared" si="51"/>
        <v>2886600.5599255203</v>
      </c>
    </row>
    <row r="739" spans="2:9" ht="9.75" outlineLevel="1">
      <c r="B739" s="1" t="s">
        <v>94</v>
      </c>
      <c r="D739" s="170">
        <f aca="true" t="shared" si="52" ref="D739:I739">SUM(D734:D738)</f>
        <v>230930977.77765113</v>
      </c>
      <c r="E739" s="170">
        <f t="shared" si="52"/>
        <v>246301220.3013377</v>
      </c>
      <c r="F739" s="170">
        <f t="shared" si="52"/>
        <v>248187130.60773766</v>
      </c>
      <c r="G739" s="170">
        <f t="shared" si="52"/>
        <v>250129618.22332966</v>
      </c>
      <c r="H739" s="170">
        <f t="shared" si="52"/>
        <v>252130380.46738943</v>
      </c>
      <c r="I739" s="170">
        <f t="shared" si="52"/>
        <v>254191165.57877097</v>
      </c>
    </row>
    <row r="740" spans="2:9" ht="9.75" outlineLevel="1">
      <c r="B740" s="1" t="s">
        <v>264</v>
      </c>
      <c r="D740" s="11">
        <f aca="true" t="shared" si="53" ref="D740:I740">D727-D739</f>
        <v>0</v>
      </c>
      <c r="E740" s="11">
        <f t="shared" si="53"/>
        <v>0</v>
      </c>
      <c r="F740" s="11">
        <f t="shared" si="53"/>
        <v>0</v>
      </c>
      <c r="G740" s="11">
        <f t="shared" si="53"/>
        <v>0</v>
      </c>
      <c r="H740" s="11">
        <f t="shared" si="53"/>
        <v>0</v>
      </c>
      <c r="I740" s="11">
        <f t="shared" si="53"/>
        <v>0</v>
      </c>
    </row>
    <row r="741" ht="9.75" outlineLevel="1"/>
    <row r="742" spans="1:2" ht="9.75">
      <c r="A742" s="198" t="str">
        <f>HYPERLINK(CONCATENATE(workbookname,"$A$7"),"Top")</f>
        <v>Top</v>
      </c>
      <c r="B742" s="3" t="str">
        <f>Contents!B104</f>
        <v>Volumes</v>
      </c>
    </row>
    <row r="743" ht="9.75">
      <c r="B743" s="171" t="str">
        <f>Contents!D104</f>
        <v>Expected yearly volumes per segment across the rail network</v>
      </c>
    </row>
    <row r="744" ht="9.75" outlineLevel="1"/>
    <row r="745" ht="9.75" outlineLevel="1">
      <c r="B745" s="2" t="s">
        <v>270</v>
      </c>
    </row>
    <row r="746" spans="2:9" ht="9.75" outlineLevel="1">
      <c r="B746" s="22" t="str">
        <f>rail1</f>
        <v>Cloudbreak to Port Dumper</v>
      </c>
      <c r="C746" s="6" t="s">
        <v>271</v>
      </c>
      <c r="D746" s="8">
        <f>IF('Rail Expenses'!$C251=0,0,'Rail Expenses'!$M251/'Rail Expenses'!$C251)</f>
        <v>40000000</v>
      </c>
      <c r="E746" s="8">
        <f>IF('Rail Expenses'!$C251=0,0,'Rail Expenses'!$M251/'Rail Expenses'!$C251)</f>
        <v>40000000</v>
      </c>
      <c r="F746" s="8">
        <f>IF('Rail Expenses'!$C251=0,0,'Rail Expenses'!$M251/'Rail Expenses'!$C251)</f>
        <v>40000000</v>
      </c>
      <c r="G746" s="8">
        <f>IF('Rail Expenses'!$C251=0,0,'Rail Expenses'!$M251/'Rail Expenses'!$C251)</f>
        <v>40000000</v>
      </c>
      <c r="H746" s="8">
        <f>IF('Rail Expenses'!$C251=0,0,'Rail Expenses'!$M251/'Rail Expenses'!$C251)</f>
        <v>40000000</v>
      </c>
      <c r="I746" s="8">
        <f>IF('Rail Expenses'!$C251=0,0,'Rail Expenses'!$M251/'Rail Expenses'!$C251)</f>
        <v>40000000</v>
      </c>
    </row>
    <row r="747" spans="2:9" ht="9.75" outlineLevel="1">
      <c r="B747" s="22" t="str">
        <f>rail2</f>
        <v>Route 2</v>
      </c>
      <c r="C747" s="6" t="s">
        <v>271</v>
      </c>
      <c r="D747" s="8">
        <f>IF('Rail Expenses'!$C252=0,0,'Rail Expenses'!$M252/'Rail Expenses'!$C252)</f>
        <v>0</v>
      </c>
      <c r="E747" s="8">
        <f>IF('Rail Expenses'!$C252=0,0,'Rail Expenses'!$M252/'Rail Expenses'!$C252)</f>
        <v>0</v>
      </c>
      <c r="F747" s="8">
        <f>IF('Rail Expenses'!$C252=0,0,'Rail Expenses'!$M252/'Rail Expenses'!$C252)</f>
        <v>0</v>
      </c>
      <c r="G747" s="8">
        <f>IF('Rail Expenses'!$C252=0,0,'Rail Expenses'!$M252/'Rail Expenses'!$C252)</f>
        <v>0</v>
      </c>
      <c r="H747" s="8">
        <f>IF('Rail Expenses'!$C252=0,0,'Rail Expenses'!$M252/'Rail Expenses'!$C252)</f>
        <v>0</v>
      </c>
      <c r="I747" s="8">
        <f>IF('Rail Expenses'!$C252=0,0,'Rail Expenses'!$M252/'Rail Expenses'!$C252)</f>
        <v>0</v>
      </c>
    </row>
    <row r="748" spans="2:9" ht="9.75" outlineLevel="1">
      <c r="B748" s="22" t="str">
        <f>rail3</f>
        <v>Route 3</v>
      </c>
      <c r="C748" s="6" t="s">
        <v>271</v>
      </c>
      <c r="D748" s="8">
        <f>IF('Rail Expenses'!$C253=0,0,'Rail Expenses'!$M253/'Rail Expenses'!$C253)</f>
        <v>0</v>
      </c>
      <c r="E748" s="8">
        <f>IF('Rail Expenses'!$C253=0,0,'Rail Expenses'!$M253/'Rail Expenses'!$C253)</f>
        <v>0</v>
      </c>
      <c r="F748" s="8">
        <f>IF('Rail Expenses'!$C253=0,0,'Rail Expenses'!$M253/'Rail Expenses'!$C253)</f>
        <v>0</v>
      </c>
      <c r="G748" s="8">
        <f>IF('Rail Expenses'!$C253=0,0,'Rail Expenses'!$M253/'Rail Expenses'!$C253)</f>
        <v>0</v>
      </c>
      <c r="H748" s="8">
        <f>IF('Rail Expenses'!$C253=0,0,'Rail Expenses'!$M253/'Rail Expenses'!$C253)</f>
        <v>0</v>
      </c>
      <c r="I748" s="8">
        <f>IF('Rail Expenses'!$C253=0,0,'Rail Expenses'!$M253/'Rail Expenses'!$C253)</f>
        <v>0</v>
      </c>
    </row>
    <row r="749" spans="2:9" ht="9.75" outlineLevel="1">
      <c r="B749" s="22" t="str">
        <f>rail4</f>
        <v>Route 4</v>
      </c>
      <c r="C749" s="6" t="s">
        <v>271</v>
      </c>
      <c r="D749" s="8">
        <f>IF('Rail Expenses'!$C254=0,0,'Rail Expenses'!$M254/'Rail Expenses'!$C254)</f>
        <v>0</v>
      </c>
      <c r="E749" s="8">
        <f>IF('Rail Expenses'!$C254=0,0,'Rail Expenses'!$M254/'Rail Expenses'!$C254)</f>
        <v>0</v>
      </c>
      <c r="F749" s="8">
        <f>IF('Rail Expenses'!$C254=0,0,'Rail Expenses'!$M254/'Rail Expenses'!$C254)</f>
        <v>0</v>
      </c>
      <c r="G749" s="8">
        <f>IF('Rail Expenses'!$C254=0,0,'Rail Expenses'!$M254/'Rail Expenses'!$C254)</f>
        <v>0</v>
      </c>
      <c r="H749" s="8">
        <f>IF('Rail Expenses'!$C254=0,0,'Rail Expenses'!$M254/'Rail Expenses'!$C254)</f>
        <v>0</v>
      </c>
      <c r="I749" s="8">
        <f>IF('Rail Expenses'!$C254=0,0,'Rail Expenses'!$M254/'Rail Expenses'!$C254)</f>
        <v>0</v>
      </c>
    </row>
    <row r="750" spans="2:9" ht="9.75" outlineLevel="1">
      <c r="B750" s="22" t="str">
        <f>rail5</f>
        <v>Route 5</v>
      </c>
      <c r="C750" s="6" t="s">
        <v>271</v>
      </c>
      <c r="D750" s="8">
        <f>IF('Rail Expenses'!$C255=0,0,'Rail Expenses'!$M255/'Rail Expenses'!$C255)</f>
        <v>0</v>
      </c>
      <c r="E750" s="8">
        <f>IF('Rail Expenses'!$C255=0,0,'Rail Expenses'!$M255/'Rail Expenses'!$C255)</f>
        <v>0</v>
      </c>
      <c r="F750" s="8">
        <f>IF('Rail Expenses'!$C255=0,0,'Rail Expenses'!$M255/'Rail Expenses'!$C255)</f>
        <v>0</v>
      </c>
      <c r="G750" s="8">
        <f>IF('Rail Expenses'!$C255=0,0,'Rail Expenses'!$M255/'Rail Expenses'!$C255)</f>
        <v>0</v>
      </c>
      <c r="H750" s="8">
        <f>IF('Rail Expenses'!$C255=0,0,'Rail Expenses'!$M255/'Rail Expenses'!$C255)</f>
        <v>0</v>
      </c>
      <c r="I750" s="8">
        <f>IF('Rail Expenses'!$C255=0,0,'Rail Expenses'!$M255/'Rail Expenses'!$C255)</f>
        <v>0</v>
      </c>
    </row>
    <row r="751" spans="2:9" ht="9.75" outlineLevel="1">
      <c r="B751" s="22" t="str">
        <f>rail6</f>
        <v>Route 6</v>
      </c>
      <c r="C751" s="6" t="s">
        <v>271</v>
      </c>
      <c r="D751" s="8">
        <f>IF('Rail Expenses'!$C256=0,0,'Rail Expenses'!$M256/'Rail Expenses'!$C256)</f>
        <v>0</v>
      </c>
      <c r="E751" s="8">
        <f>IF('Rail Expenses'!$C256=0,0,'Rail Expenses'!$M256/'Rail Expenses'!$C256)</f>
        <v>0</v>
      </c>
      <c r="F751" s="8">
        <f>IF('Rail Expenses'!$C256=0,0,'Rail Expenses'!$M256/'Rail Expenses'!$C256)</f>
        <v>0</v>
      </c>
      <c r="G751" s="8">
        <f>IF('Rail Expenses'!$C256=0,0,'Rail Expenses'!$M256/'Rail Expenses'!$C256)</f>
        <v>0</v>
      </c>
      <c r="H751" s="8">
        <f>IF('Rail Expenses'!$C256=0,0,'Rail Expenses'!$M256/'Rail Expenses'!$C256)</f>
        <v>0</v>
      </c>
      <c r="I751" s="8">
        <f>IF('Rail Expenses'!$C256=0,0,'Rail Expenses'!$M256/'Rail Expenses'!$C256)</f>
        <v>0</v>
      </c>
    </row>
    <row r="752" spans="2:9" ht="9.75" outlineLevel="1">
      <c r="B752" s="22" t="str">
        <f>rail7</f>
        <v>Route 7</v>
      </c>
      <c r="C752" s="6" t="s">
        <v>271</v>
      </c>
      <c r="D752" s="8">
        <f>IF('Rail Expenses'!$C257=0,0,'Rail Expenses'!$M257/'Rail Expenses'!$C257)</f>
        <v>0</v>
      </c>
      <c r="E752" s="8">
        <f>IF('Rail Expenses'!$C257=0,0,'Rail Expenses'!$M257/'Rail Expenses'!$C257)</f>
        <v>0</v>
      </c>
      <c r="F752" s="8">
        <f>IF('Rail Expenses'!$C257=0,0,'Rail Expenses'!$M257/'Rail Expenses'!$C257)</f>
        <v>0</v>
      </c>
      <c r="G752" s="8">
        <f>IF('Rail Expenses'!$C257=0,0,'Rail Expenses'!$M257/'Rail Expenses'!$C257)</f>
        <v>0</v>
      </c>
      <c r="H752" s="8">
        <f>IF('Rail Expenses'!$C257=0,0,'Rail Expenses'!$M257/'Rail Expenses'!$C257)</f>
        <v>0</v>
      </c>
      <c r="I752" s="8">
        <f>IF('Rail Expenses'!$C257=0,0,'Rail Expenses'!$M257/'Rail Expenses'!$C257)</f>
        <v>0</v>
      </c>
    </row>
    <row r="753" spans="2:9" ht="9.75" outlineLevel="1">
      <c r="B753" s="22" t="str">
        <f>rail8</f>
        <v>Route 8</v>
      </c>
      <c r="C753" s="6" t="s">
        <v>271</v>
      </c>
      <c r="D753" s="8">
        <f>IF('Rail Expenses'!$C258=0,0,'Rail Expenses'!$M258/'Rail Expenses'!$C258)</f>
        <v>0</v>
      </c>
      <c r="E753" s="8">
        <f>IF('Rail Expenses'!$C258=0,0,'Rail Expenses'!$M258/'Rail Expenses'!$C258)</f>
        <v>0</v>
      </c>
      <c r="F753" s="8">
        <f>IF('Rail Expenses'!$C258=0,0,'Rail Expenses'!$M258/'Rail Expenses'!$C258)</f>
        <v>0</v>
      </c>
      <c r="G753" s="8">
        <f>IF('Rail Expenses'!$C258=0,0,'Rail Expenses'!$M258/'Rail Expenses'!$C258)</f>
        <v>0</v>
      </c>
      <c r="H753" s="8">
        <f>IF('Rail Expenses'!$C258=0,0,'Rail Expenses'!$M258/'Rail Expenses'!$C258)</f>
        <v>0</v>
      </c>
      <c r="I753" s="8">
        <f>IF('Rail Expenses'!$C258=0,0,'Rail Expenses'!$M258/'Rail Expenses'!$C258)</f>
        <v>0</v>
      </c>
    </row>
    <row r="754" spans="2:9" ht="9.75" outlineLevel="1">
      <c r="B754" s="22" t="str">
        <f>rail9</f>
        <v>Route 9</v>
      </c>
      <c r="C754" s="6" t="s">
        <v>271</v>
      </c>
      <c r="D754" s="8">
        <f>IF('Rail Expenses'!$C259=0,0,'Rail Expenses'!$M259/'Rail Expenses'!$C259)</f>
        <v>0</v>
      </c>
      <c r="E754" s="8">
        <f>IF('Rail Expenses'!$C259=0,0,'Rail Expenses'!$M259/'Rail Expenses'!$C259)</f>
        <v>0</v>
      </c>
      <c r="F754" s="8">
        <f>IF('Rail Expenses'!$C259=0,0,'Rail Expenses'!$M259/'Rail Expenses'!$C259)</f>
        <v>0</v>
      </c>
      <c r="G754" s="8">
        <f>IF('Rail Expenses'!$C259=0,0,'Rail Expenses'!$M259/'Rail Expenses'!$C259)</f>
        <v>0</v>
      </c>
      <c r="H754" s="8">
        <f>IF('Rail Expenses'!$C259=0,0,'Rail Expenses'!$M259/'Rail Expenses'!$C259)</f>
        <v>0</v>
      </c>
      <c r="I754" s="8">
        <f>IF('Rail Expenses'!$C259=0,0,'Rail Expenses'!$M259/'Rail Expenses'!$C259)</f>
        <v>0</v>
      </c>
    </row>
    <row r="755" spans="2:9" ht="9.75" outlineLevel="1">
      <c r="B755" s="22" t="str">
        <f>rail10</f>
        <v>Route 10</v>
      </c>
      <c r="C755" s="6" t="s">
        <v>271</v>
      </c>
      <c r="D755" s="8">
        <f>IF('Rail Expenses'!$C260=0,0,'Rail Expenses'!$M260/'Rail Expenses'!$C260)</f>
        <v>0</v>
      </c>
      <c r="E755" s="8">
        <f>IF('Rail Expenses'!$C260=0,0,'Rail Expenses'!$M260/'Rail Expenses'!$C260)</f>
        <v>0</v>
      </c>
      <c r="F755" s="8">
        <f>IF('Rail Expenses'!$C260=0,0,'Rail Expenses'!$M260/'Rail Expenses'!$C260)</f>
        <v>0</v>
      </c>
      <c r="G755" s="8">
        <f>IF('Rail Expenses'!$C260=0,0,'Rail Expenses'!$M260/'Rail Expenses'!$C260)</f>
        <v>0</v>
      </c>
      <c r="H755" s="8">
        <f>IF('Rail Expenses'!$C260=0,0,'Rail Expenses'!$M260/'Rail Expenses'!$C260)</f>
        <v>0</v>
      </c>
      <c r="I755" s="8">
        <f>IF('Rail Expenses'!$C260=0,0,'Rail Expenses'!$M260/'Rail Expenses'!$C260)</f>
        <v>0</v>
      </c>
    </row>
    <row r="756" spans="2:9" ht="9.75" outlineLevel="1">
      <c r="B756" s="22" t="str">
        <f>rail11</f>
        <v>Route 11</v>
      </c>
      <c r="C756" s="6" t="s">
        <v>271</v>
      </c>
      <c r="D756" s="8">
        <f>IF('Rail Expenses'!$C261=0,0,'Rail Expenses'!$M261/'Rail Expenses'!$C261)</f>
        <v>0</v>
      </c>
      <c r="E756" s="8">
        <f>IF('Rail Expenses'!$C261=0,0,'Rail Expenses'!$M261/'Rail Expenses'!$C261)</f>
        <v>0</v>
      </c>
      <c r="F756" s="8">
        <f>IF('Rail Expenses'!$C261=0,0,'Rail Expenses'!$M261/'Rail Expenses'!$C261)</f>
        <v>0</v>
      </c>
      <c r="G756" s="8">
        <f>IF('Rail Expenses'!$C261=0,0,'Rail Expenses'!$M261/'Rail Expenses'!$C261)</f>
        <v>0</v>
      </c>
      <c r="H756" s="8">
        <f>IF('Rail Expenses'!$C261=0,0,'Rail Expenses'!$M261/'Rail Expenses'!$C261)</f>
        <v>0</v>
      </c>
      <c r="I756" s="8">
        <f>IF('Rail Expenses'!$C261=0,0,'Rail Expenses'!$M261/'Rail Expenses'!$C261)</f>
        <v>0</v>
      </c>
    </row>
    <row r="757" spans="2:9" ht="9.75" outlineLevel="1">
      <c r="B757" s="22" t="str">
        <f>rail12</f>
        <v>Route 12</v>
      </c>
      <c r="C757" s="6" t="s">
        <v>271</v>
      </c>
      <c r="D757" s="8">
        <f>IF('Rail Expenses'!$C262=0,0,'Rail Expenses'!$M262/'Rail Expenses'!$C262)</f>
        <v>0</v>
      </c>
      <c r="E757" s="8">
        <f>IF('Rail Expenses'!$C262=0,0,'Rail Expenses'!$M262/'Rail Expenses'!$C262)</f>
        <v>0</v>
      </c>
      <c r="F757" s="8">
        <f>IF('Rail Expenses'!$C262=0,0,'Rail Expenses'!$M262/'Rail Expenses'!$C262)</f>
        <v>0</v>
      </c>
      <c r="G757" s="8">
        <f>IF('Rail Expenses'!$C262=0,0,'Rail Expenses'!$M262/'Rail Expenses'!$C262)</f>
        <v>0</v>
      </c>
      <c r="H757" s="8">
        <f>IF('Rail Expenses'!$C262=0,0,'Rail Expenses'!$M262/'Rail Expenses'!$C262)</f>
        <v>0</v>
      </c>
      <c r="I757" s="8">
        <f>IF('Rail Expenses'!$C262=0,0,'Rail Expenses'!$M262/'Rail Expenses'!$C262)</f>
        <v>0</v>
      </c>
    </row>
    <row r="758" spans="2:9" ht="9.75" outlineLevel="1">
      <c r="B758" s="22" t="str">
        <f>rail13</f>
        <v>Route 13</v>
      </c>
      <c r="C758" s="6" t="s">
        <v>271</v>
      </c>
      <c r="D758" s="8">
        <f>IF('Rail Expenses'!$C263=0,0,'Rail Expenses'!$M263/'Rail Expenses'!$C263)</f>
        <v>0</v>
      </c>
      <c r="E758" s="8">
        <f>IF('Rail Expenses'!$C263=0,0,'Rail Expenses'!$M263/'Rail Expenses'!$C263)</f>
        <v>0</v>
      </c>
      <c r="F758" s="8">
        <f>IF('Rail Expenses'!$C263=0,0,'Rail Expenses'!$M263/'Rail Expenses'!$C263)</f>
        <v>0</v>
      </c>
      <c r="G758" s="8">
        <f>IF('Rail Expenses'!$C263=0,0,'Rail Expenses'!$M263/'Rail Expenses'!$C263)</f>
        <v>0</v>
      </c>
      <c r="H758" s="8">
        <f>IF('Rail Expenses'!$C263=0,0,'Rail Expenses'!$M263/'Rail Expenses'!$C263)</f>
        <v>0</v>
      </c>
      <c r="I758" s="8">
        <f>IF('Rail Expenses'!$C263=0,0,'Rail Expenses'!$M263/'Rail Expenses'!$C263)</f>
        <v>0</v>
      </c>
    </row>
    <row r="759" spans="2:9" ht="9.75" outlineLevel="1">
      <c r="B759" s="22" t="str">
        <f>rail14</f>
        <v>Route 14</v>
      </c>
      <c r="C759" s="6" t="s">
        <v>271</v>
      </c>
      <c r="D759" s="8">
        <f>IF('Rail Expenses'!$C264=0,0,'Rail Expenses'!$M264/'Rail Expenses'!$C264)</f>
        <v>0</v>
      </c>
      <c r="E759" s="8">
        <f>IF('Rail Expenses'!$C264=0,0,'Rail Expenses'!$M264/'Rail Expenses'!$C264)</f>
        <v>0</v>
      </c>
      <c r="F759" s="8">
        <f>IF('Rail Expenses'!$C264=0,0,'Rail Expenses'!$M264/'Rail Expenses'!$C264)</f>
        <v>0</v>
      </c>
      <c r="G759" s="8">
        <f>IF('Rail Expenses'!$C264=0,0,'Rail Expenses'!$M264/'Rail Expenses'!$C264)</f>
        <v>0</v>
      </c>
      <c r="H759" s="8">
        <f>IF('Rail Expenses'!$C264=0,0,'Rail Expenses'!$M264/'Rail Expenses'!$C264)</f>
        <v>0</v>
      </c>
      <c r="I759" s="8">
        <f>IF('Rail Expenses'!$C264=0,0,'Rail Expenses'!$M264/'Rail Expenses'!$C264)</f>
        <v>0</v>
      </c>
    </row>
    <row r="760" spans="2:9" ht="9.75" outlineLevel="1">
      <c r="B760" s="22" t="str">
        <f>rail15</f>
        <v>Route 15</v>
      </c>
      <c r="C760" s="6" t="s">
        <v>271</v>
      </c>
      <c r="D760" s="8">
        <f>IF('Rail Expenses'!$C265=0,0,'Rail Expenses'!$M265/'Rail Expenses'!$C265)</f>
        <v>0</v>
      </c>
      <c r="E760" s="8">
        <f>IF('Rail Expenses'!$C265=0,0,'Rail Expenses'!$M265/'Rail Expenses'!$C265)</f>
        <v>0</v>
      </c>
      <c r="F760" s="8">
        <f>IF('Rail Expenses'!$C265=0,0,'Rail Expenses'!$M265/'Rail Expenses'!$C265)</f>
        <v>0</v>
      </c>
      <c r="G760" s="8">
        <f>IF('Rail Expenses'!$C265=0,0,'Rail Expenses'!$M265/'Rail Expenses'!$C265)</f>
        <v>0</v>
      </c>
      <c r="H760" s="8">
        <f>IF('Rail Expenses'!$C265=0,0,'Rail Expenses'!$M265/'Rail Expenses'!$C265)</f>
        <v>0</v>
      </c>
      <c r="I760" s="8">
        <f>IF('Rail Expenses'!$C265=0,0,'Rail Expenses'!$M265/'Rail Expenses'!$C265)</f>
        <v>0</v>
      </c>
    </row>
    <row r="761" spans="2:9" ht="9.75" outlineLevel="1">
      <c r="B761" s="22" t="str">
        <f>rail16</f>
        <v>Route 16</v>
      </c>
      <c r="C761" s="6" t="s">
        <v>271</v>
      </c>
      <c r="D761" s="8">
        <f>IF('Rail Expenses'!$C266=0,0,'Rail Expenses'!$M266/'Rail Expenses'!$C266)</f>
        <v>0</v>
      </c>
      <c r="E761" s="8">
        <f>IF('Rail Expenses'!$C266=0,0,'Rail Expenses'!$M266/'Rail Expenses'!$C266)</f>
        <v>0</v>
      </c>
      <c r="F761" s="8">
        <f>IF('Rail Expenses'!$C266=0,0,'Rail Expenses'!$M266/'Rail Expenses'!$C266)</f>
        <v>0</v>
      </c>
      <c r="G761" s="8">
        <f>IF('Rail Expenses'!$C266=0,0,'Rail Expenses'!$M266/'Rail Expenses'!$C266)</f>
        <v>0</v>
      </c>
      <c r="H761" s="8">
        <f>IF('Rail Expenses'!$C266=0,0,'Rail Expenses'!$M266/'Rail Expenses'!$C266)</f>
        <v>0</v>
      </c>
      <c r="I761" s="8">
        <f>IF('Rail Expenses'!$C266=0,0,'Rail Expenses'!$M266/'Rail Expenses'!$C266)</f>
        <v>0</v>
      </c>
    </row>
    <row r="762" spans="2:9" ht="9.75" outlineLevel="1">
      <c r="B762" s="22" t="str">
        <f>rail17</f>
        <v>Route 17</v>
      </c>
      <c r="C762" s="6" t="s">
        <v>271</v>
      </c>
      <c r="D762" s="8">
        <f>IF('Rail Expenses'!$C267=0,0,'Rail Expenses'!$M267/'Rail Expenses'!$C267)</f>
        <v>0</v>
      </c>
      <c r="E762" s="8">
        <f>IF('Rail Expenses'!$C267=0,0,'Rail Expenses'!$M267/'Rail Expenses'!$C267)</f>
        <v>0</v>
      </c>
      <c r="F762" s="8">
        <f>IF('Rail Expenses'!$C267=0,0,'Rail Expenses'!$M267/'Rail Expenses'!$C267)</f>
        <v>0</v>
      </c>
      <c r="G762" s="8">
        <f>IF('Rail Expenses'!$C267=0,0,'Rail Expenses'!$M267/'Rail Expenses'!$C267)</f>
        <v>0</v>
      </c>
      <c r="H762" s="8">
        <f>IF('Rail Expenses'!$C267=0,0,'Rail Expenses'!$M267/'Rail Expenses'!$C267)</f>
        <v>0</v>
      </c>
      <c r="I762" s="8">
        <f>IF('Rail Expenses'!$C267=0,0,'Rail Expenses'!$M267/'Rail Expenses'!$C267)</f>
        <v>0</v>
      </c>
    </row>
    <row r="763" spans="2:9" ht="9.75" outlineLevel="1">
      <c r="B763" s="22" t="str">
        <f>rail18</f>
        <v>Route 18</v>
      </c>
      <c r="C763" s="6" t="s">
        <v>271</v>
      </c>
      <c r="D763" s="8">
        <f>IF('Rail Expenses'!$C268=0,0,'Rail Expenses'!$M268/'Rail Expenses'!$C268)</f>
        <v>0</v>
      </c>
      <c r="E763" s="8">
        <f>IF('Rail Expenses'!$C268=0,0,'Rail Expenses'!$M268/'Rail Expenses'!$C268)</f>
        <v>0</v>
      </c>
      <c r="F763" s="8">
        <f>IF('Rail Expenses'!$C268=0,0,'Rail Expenses'!$M268/'Rail Expenses'!$C268)</f>
        <v>0</v>
      </c>
      <c r="G763" s="8">
        <f>IF('Rail Expenses'!$C268=0,0,'Rail Expenses'!$M268/'Rail Expenses'!$C268)</f>
        <v>0</v>
      </c>
      <c r="H763" s="8">
        <f>IF('Rail Expenses'!$C268=0,0,'Rail Expenses'!$M268/'Rail Expenses'!$C268)</f>
        <v>0</v>
      </c>
      <c r="I763" s="8">
        <f>IF('Rail Expenses'!$C268=0,0,'Rail Expenses'!$M268/'Rail Expenses'!$C268)</f>
        <v>0</v>
      </c>
    </row>
    <row r="764" spans="2:9" ht="9.75" outlineLevel="1">
      <c r="B764" s="22" t="str">
        <f>rail19</f>
        <v>Route 19</v>
      </c>
      <c r="C764" s="6" t="s">
        <v>271</v>
      </c>
      <c r="D764" s="8">
        <f>IF('Rail Expenses'!$C269=0,0,'Rail Expenses'!$M269/'Rail Expenses'!$C269)</f>
        <v>0</v>
      </c>
      <c r="E764" s="8">
        <f>IF('Rail Expenses'!$C269=0,0,'Rail Expenses'!$M269/'Rail Expenses'!$C269)</f>
        <v>0</v>
      </c>
      <c r="F764" s="8">
        <f>IF('Rail Expenses'!$C269=0,0,'Rail Expenses'!$M269/'Rail Expenses'!$C269)</f>
        <v>0</v>
      </c>
      <c r="G764" s="8">
        <f>IF('Rail Expenses'!$C269=0,0,'Rail Expenses'!$M269/'Rail Expenses'!$C269)</f>
        <v>0</v>
      </c>
      <c r="H764" s="8">
        <f>IF('Rail Expenses'!$C269=0,0,'Rail Expenses'!$M269/'Rail Expenses'!$C269)</f>
        <v>0</v>
      </c>
      <c r="I764" s="8">
        <f>IF('Rail Expenses'!$C269=0,0,'Rail Expenses'!$M269/'Rail Expenses'!$C269)</f>
        <v>0</v>
      </c>
    </row>
    <row r="765" spans="2:9" ht="9.75" outlineLevel="1">
      <c r="B765" s="22" t="str">
        <f>rail20</f>
        <v>Route 20</v>
      </c>
      <c r="C765" s="6" t="s">
        <v>271</v>
      </c>
      <c r="D765" s="8">
        <f>IF('Rail Expenses'!$C270=0,0,'Rail Expenses'!$M270/'Rail Expenses'!$C270)</f>
        <v>0</v>
      </c>
      <c r="E765" s="8">
        <f>IF('Rail Expenses'!$C270=0,0,'Rail Expenses'!$M270/'Rail Expenses'!$C270)</f>
        <v>0</v>
      </c>
      <c r="F765" s="8">
        <f>IF('Rail Expenses'!$C270=0,0,'Rail Expenses'!$M270/'Rail Expenses'!$C270)</f>
        <v>0</v>
      </c>
      <c r="G765" s="8">
        <f>IF('Rail Expenses'!$C270=0,0,'Rail Expenses'!$M270/'Rail Expenses'!$C270)</f>
        <v>0</v>
      </c>
      <c r="H765" s="8">
        <f>IF('Rail Expenses'!$C270=0,0,'Rail Expenses'!$M270/'Rail Expenses'!$C270)</f>
        <v>0</v>
      </c>
      <c r="I765" s="8">
        <f>IF('Rail Expenses'!$C270=0,0,'Rail Expenses'!$M270/'Rail Expenses'!$C270)</f>
        <v>0</v>
      </c>
    </row>
    <row r="766" ht="9.75" outlineLevel="1"/>
    <row r="767" spans="1:2" ht="9.75">
      <c r="A767" s="198" t="str">
        <f>HYPERLINK(CONCATENATE(workbookname,"$A$7"),"Top")</f>
        <v>Top</v>
      </c>
      <c r="B767" s="3" t="str">
        <f>Contents!B105</f>
        <v>Ceiling Price</v>
      </c>
    </row>
    <row r="768" ht="9.75">
      <c r="B768" s="171" t="str">
        <f>Contents!D105</f>
        <v>Ceiling price based on total costs and expected volumes</v>
      </c>
    </row>
    <row r="769" ht="9.75" outlineLevel="1"/>
    <row r="770" ht="9.75" outlineLevel="1">
      <c r="B770" s="2" t="s">
        <v>294</v>
      </c>
    </row>
    <row r="771" spans="2:9" ht="9.75" outlineLevel="1">
      <c r="B771" s="22" t="str">
        <f>rail1</f>
        <v>Cloudbreak to Port Dumper</v>
      </c>
      <c r="C771" s="6" t="s">
        <v>273</v>
      </c>
      <c r="D771" s="7">
        <f aca="true" t="shared" si="54" ref="D771:I771">IF(D746=0,0,D707/D746)</f>
        <v>5.773274444441278</v>
      </c>
      <c r="E771" s="7">
        <f t="shared" si="54"/>
        <v>6.157530507533441</v>
      </c>
      <c r="F771" s="7">
        <f t="shared" si="54"/>
        <v>6.204678265193442</v>
      </c>
      <c r="G771" s="7">
        <f t="shared" si="54"/>
        <v>6.253240455583241</v>
      </c>
      <c r="H771" s="7">
        <f t="shared" si="54"/>
        <v>6.303259511684736</v>
      </c>
      <c r="I771" s="7">
        <f t="shared" si="54"/>
        <v>6.354779139469274</v>
      </c>
    </row>
    <row r="772" spans="2:9" ht="9.75" outlineLevel="1">
      <c r="B772" s="22" t="str">
        <f>rail2</f>
        <v>Route 2</v>
      </c>
      <c r="C772" s="6" t="s">
        <v>273</v>
      </c>
      <c r="D772" s="7">
        <f aca="true" t="shared" si="55" ref="D772:I772">IF(D747=0,0,D708/D747)</f>
        <v>0</v>
      </c>
      <c r="E772" s="7">
        <f t="shared" si="55"/>
        <v>0</v>
      </c>
      <c r="F772" s="7">
        <f t="shared" si="55"/>
        <v>0</v>
      </c>
      <c r="G772" s="7">
        <f t="shared" si="55"/>
        <v>0</v>
      </c>
      <c r="H772" s="7">
        <f t="shared" si="55"/>
        <v>0</v>
      </c>
      <c r="I772" s="7">
        <f t="shared" si="55"/>
        <v>0</v>
      </c>
    </row>
    <row r="773" spans="2:9" ht="9.75" outlineLevel="1">
      <c r="B773" s="22" t="str">
        <f>rail3</f>
        <v>Route 3</v>
      </c>
      <c r="C773" s="6" t="s">
        <v>273</v>
      </c>
      <c r="D773" s="7">
        <f aca="true" t="shared" si="56" ref="D773:I773">IF(D748=0,0,D709/D748)</f>
        <v>0</v>
      </c>
      <c r="E773" s="7">
        <f t="shared" si="56"/>
        <v>0</v>
      </c>
      <c r="F773" s="7">
        <f t="shared" si="56"/>
        <v>0</v>
      </c>
      <c r="G773" s="7">
        <f t="shared" si="56"/>
        <v>0</v>
      </c>
      <c r="H773" s="7">
        <f t="shared" si="56"/>
        <v>0</v>
      </c>
      <c r="I773" s="7">
        <f t="shared" si="56"/>
        <v>0</v>
      </c>
    </row>
    <row r="774" spans="2:9" ht="9.75" outlineLevel="1">
      <c r="B774" s="22" t="str">
        <f>rail4</f>
        <v>Route 4</v>
      </c>
      <c r="C774" s="6" t="s">
        <v>273</v>
      </c>
      <c r="D774" s="7">
        <f aca="true" t="shared" si="57" ref="D774:I774">IF(D749=0,0,D710/D749)</f>
        <v>0</v>
      </c>
      <c r="E774" s="7">
        <f t="shared" si="57"/>
        <v>0</v>
      </c>
      <c r="F774" s="7">
        <f t="shared" si="57"/>
        <v>0</v>
      </c>
      <c r="G774" s="7">
        <f t="shared" si="57"/>
        <v>0</v>
      </c>
      <c r="H774" s="7">
        <f t="shared" si="57"/>
        <v>0</v>
      </c>
      <c r="I774" s="7">
        <f t="shared" si="57"/>
        <v>0</v>
      </c>
    </row>
    <row r="775" spans="2:9" ht="9.75" outlineLevel="1">
      <c r="B775" s="22" t="str">
        <f>rail5</f>
        <v>Route 5</v>
      </c>
      <c r="C775" s="6" t="s">
        <v>273</v>
      </c>
      <c r="D775" s="7">
        <f aca="true" t="shared" si="58" ref="D775:I775">IF(D750=0,0,D711/D750)</f>
        <v>0</v>
      </c>
      <c r="E775" s="7">
        <f t="shared" si="58"/>
        <v>0</v>
      </c>
      <c r="F775" s="7">
        <f t="shared" si="58"/>
        <v>0</v>
      </c>
      <c r="G775" s="7">
        <f t="shared" si="58"/>
        <v>0</v>
      </c>
      <c r="H775" s="7">
        <f t="shared" si="58"/>
        <v>0</v>
      </c>
      <c r="I775" s="7">
        <f t="shared" si="58"/>
        <v>0</v>
      </c>
    </row>
    <row r="776" spans="2:9" ht="9.75" outlineLevel="1">
      <c r="B776" s="22" t="str">
        <f>rail6</f>
        <v>Route 6</v>
      </c>
      <c r="C776" s="6" t="s">
        <v>273</v>
      </c>
      <c r="D776" s="7">
        <f aca="true" t="shared" si="59" ref="D776:I776">IF(D751=0,0,D712/D751)</f>
        <v>0</v>
      </c>
      <c r="E776" s="7">
        <f t="shared" si="59"/>
        <v>0</v>
      </c>
      <c r="F776" s="7">
        <f t="shared" si="59"/>
        <v>0</v>
      </c>
      <c r="G776" s="7">
        <f t="shared" si="59"/>
        <v>0</v>
      </c>
      <c r="H776" s="7">
        <f t="shared" si="59"/>
        <v>0</v>
      </c>
      <c r="I776" s="7">
        <f t="shared" si="59"/>
        <v>0</v>
      </c>
    </row>
    <row r="777" spans="2:9" ht="9.75" outlineLevel="1">
      <c r="B777" s="22" t="str">
        <f>rail7</f>
        <v>Route 7</v>
      </c>
      <c r="C777" s="6" t="s">
        <v>273</v>
      </c>
      <c r="D777" s="7">
        <f aca="true" t="shared" si="60" ref="D777:I777">IF(D752=0,0,D713/D752)</f>
        <v>0</v>
      </c>
      <c r="E777" s="7">
        <f t="shared" si="60"/>
        <v>0</v>
      </c>
      <c r="F777" s="7">
        <f t="shared" si="60"/>
        <v>0</v>
      </c>
      <c r="G777" s="7">
        <f t="shared" si="60"/>
        <v>0</v>
      </c>
      <c r="H777" s="7">
        <f t="shared" si="60"/>
        <v>0</v>
      </c>
      <c r="I777" s="7">
        <f t="shared" si="60"/>
        <v>0</v>
      </c>
    </row>
    <row r="778" spans="2:9" ht="9.75" outlineLevel="1">
      <c r="B778" s="22" t="str">
        <f>rail8</f>
        <v>Route 8</v>
      </c>
      <c r="C778" s="6" t="s">
        <v>273</v>
      </c>
      <c r="D778" s="7">
        <f aca="true" t="shared" si="61" ref="D778:I778">IF(D753=0,0,D714/D753)</f>
        <v>0</v>
      </c>
      <c r="E778" s="7">
        <f t="shared" si="61"/>
        <v>0</v>
      </c>
      <c r="F778" s="7">
        <f t="shared" si="61"/>
        <v>0</v>
      </c>
      <c r="G778" s="7">
        <f t="shared" si="61"/>
        <v>0</v>
      </c>
      <c r="H778" s="7">
        <f t="shared" si="61"/>
        <v>0</v>
      </c>
      <c r="I778" s="7">
        <f t="shared" si="61"/>
        <v>0</v>
      </c>
    </row>
    <row r="779" spans="2:9" ht="9.75" outlineLevel="1">
      <c r="B779" s="22" t="str">
        <f>rail9</f>
        <v>Route 9</v>
      </c>
      <c r="C779" s="6" t="s">
        <v>273</v>
      </c>
      <c r="D779" s="7">
        <f aca="true" t="shared" si="62" ref="D779:I779">IF(D754=0,0,D715/D754)</f>
        <v>0</v>
      </c>
      <c r="E779" s="7">
        <f t="shared" si="62"/>
        <v>0</v>
      </c>
      <c r="F779" s="7">
        <f t="shared" si="62"/>
        <v>0</v>
      </c>
      <c r="G779" s="7">
        <f t="shared" si="62"/>
        <v>0</v>
      </c>
      <c r="H779" s="7">
        <f t="shared" si="62"/>
        <v>0</v>
      </c>
      <c r="I779" s="7">
        <f t="shared" si="62"/>
        <v>0</v>
      </c>
    </row>
    <row r="780" spans="2:9" ht="9.75" outlineLevel="1">
      <c r="B780" s="22" t="str">
        <f>rail10</f>
        <v>Route 10</v>
      </c>
      <c r="C780" s="6" t="s">
        <v>273</v>
      </c>
      <c r="D780" s="7">
        <f aca="true" t="shared" si="63" ref="D780:I780">IF(D755=0,0,D716/D755)</f>
        <v>0</v>
      </c>
      <c r="E780" s="7">
        <f t="shared" si="63"/>
        <v>0</v>
      </c>
      <c r="F780" s="7">
        <f t="shared" si="63"/>
        <v>0</v>
      </c>
      <c r="G780" s="7">
        <f t="shared" si="63"/>
        <v>0</v>
      </c>
      <c r="H780" s="7">
        <f t="shared" si="63"/>
        <v>0</v>
      </c>
      <c r="I780" s="7">
        <f t="shared" si="63"/>
        <v>0</v>
      </c>
    </row>
    <row r="781" spans="2:9" ht="9.75" outlineLevel="1">
      <c r="B781" s="22" t="str">
        <f>rail11</f>
        <v>Route 11</v>
      </c>
      <c r="C781" s="6" t="s">
        <v>273</v>
      </c>
      <c r="D781" s="7">
        <f aca="true" t="shared" si="64" ref="D781:I781">IF(D756=0,0,D717/D756)</f>
        <v>0</v>
      </c>
      <c r="E781" s="7">
        <f t="shared" si="64"/>
        <v>0</v>
      </c>
      <c r="F781" s="7">
        <f t="shared" si="64"/>
        <v>0</v>
      </c>
      <c r="G781" s="7">
        <f t="shared" si="64"/>
        <v>0</v>
      </c>
      <c r="H781" s="7">
        <f t="shared" si="64"/>
        <v>0</v>
      </c>
      <c r="I781" s="7">
        <f t="shared" si="64"/>
        <v>0</v>
      </c>
    </row>
    <row r="782" spans="2:9" ht="9.75" outlineLevel="1">
      <c r="B782" s="22" t="str">
        <f>rail12</f>
        <v>Route 12</v>
      </c>
      <c r="C782" s="6" t="s">
        <v>273</v>
      </c>
      <c r="D782" s="7">
        <f aca="true" t="shared" si="65" ref="D782:I782">IF(D757=0,0,D718/D757)</f>
        <v>0</v>
      </c>
      <c r="E782" s="7">
        <f t="shared" si="65"/>
        <v>0</v>
      </c>
      <c r="F782" s="7">
        <f t="shared" si="65"/>
        <v>0</v>
      </c>
      <c r="G782" s="7">
        <f t="shared" si="65"/>
        <v>0</v>
      </c>
      <c r="H782" s="7">
        <f t="shared" si="65"/>
        <v>0</v>
      </c>
      <c r="I782" s="7">
        <f t="shared" si="65"/>
        <v>0</v>
      </c>
    </row>
    <row r="783" spans="2:9" ht="9.75" outlineLevel="1">
      <c r="B783" s="22" t="str">
        <f>rail13</f>
        <v>Route 13</v>
      </c>
      <c r="C783" s="6" t="s">
        <v>273</v>
      </c>
      <c r="D783" s="7">
        <f aca="true" t="shared" si="66" ref="D783:I783">IF(D758=0,0,D719/D758)</f>
        <v>0</v>
      </c>
      <c r="E783" s="7">
        <f t="shared" si="66"/>
        <v>0</v>
      </c>
      <c r="F783" s="7">
        <f t="shared" si="66"/>
        <v>0</v>
      </c>
      <c r="G783" s="7">
        <f t="shared" si="66"/>
        <v>0</v>
      </c>
      <c r="H783" s="7">
        <f t="shared" si="66"/>
        <v>0</v>
      </c>
      <c r="I783" s="7">
        <f t="shared" si="66"/>
        <v>0</v>
      </c>
    </row>
    <row r="784" spans="2:9" ht="9.75" outlineLevel="1">
      <c r="B784" s="22" t="str">
        <f>rail14</f>
        <v>Route 14</v>
      </c>
      <c r="C784" s="6" t="s">
        <v>273</v>
      </c>
      <c r="D784" s="7">
        <f aca="true" t="shared" si="67" ref="D784:I784">IF(D759=0,0,D720/D759)</f>
        <v>0</v>
      </c>
      <c r="E784" s="7">
        <f t="shared" si="67"/>
        <v>0</v>
      </c>
      <c r="F784" s="7">
        <f t="shared" si="67"/>
        <v>0</v>
      </c>
      <c r="G784" s="7">
        <f t="shared" si="67"/>
        <v>0</v>
      </c>
      <c r="H784" s="7">
        <f t="shared" si="67"/>
        <v>0</v>
      </c>
      <c r="I784" s="7">
        <f t="shared" si="67"/>
        <v>0</v>
      </c>
    </row>
    <row r="785" spans="2:9" ht="9.75" outlineLevel="1">
      <c r="B785" s="22" t="str">
        <f>rail15</f>
        <v>Route 15</v>
      </c>
      <c r="C785" s="6" t="s">
        <v>273</v>
      </c>
      <c r="D785" s="7">
        <f aca="true" t="shared" si="68" ref="D785:I785">IF(D760=0,0,D721/D760)</f>
        <v>0</v>
      </c>
      <c r="E785" s="7">
        <f t="shared" si="68"/>
        <v>0</v>
      </c>
      <c r="F785" s="7">
        <f t="shared" si="68"/>
        <v>0</v>
      </c>
      <c r="G785" s="7">
        <f t="shared" si="68"/>
        <v>0</v>
      </c>
      <c r="H785" s="7">
        <f t="shared" si="68"/>
        <v>0</v>
      </c>
      <c r="I785" s="7">
        <f t="shared" si="68"/>
        <v>0</v>
      </c>
    </row>
    <row r="786" spans="2:9" ht="9.75" outlineLevel="1">
      <c r="B786" s="22" t="str">
        <f>rail16</f>
        <v>Route 16</v>
      </c>
      <c r="C786" s="6" t="s">
        <v>273</v>
      </c>
      <c r="D786" s="7">
        <f aca="true" t="shared" si="69" ref="D786:I786">IF(D761=0,0,D722/D761)</f>
        <v>0</v>
      </c>
      <c r="E786" s="7">
        <f t="shared" si="69"/>
        <v>0</v>
      </c>
      <c r="F786" s="7">
        <f t="shared" si="69"/>
        <v>0</v>
      </c>
      <c r="G786" s="7">
        <f t="shared" si="69"/>
        <v>0</v>
      </c>
      <c r="H786" s="7">
        <f t="shared" si="69"/>
        <v>0</v>
      </c>
      <c r="I786" s="7">
        <f t="shared" si="69"/>
        <v>0</v>
      </c>
    </row>
    <row r="787" spans="2:9" ht="9.75" outlineLevel="1">
      <c r="B787" s="22" t="str">
        <f>rail17</f>
        <v>Route 17</v>
      </c>
      <c r="C787" s="6" t="s">
        <v>273</v>
      </c>
      <c r="D787" s="7">
        <f aca="true" t="shared" si="70" ref="D787:I787">IF(D762=0,0,D723/D762)</f>
        <v>0</v>
      </c>
      <c r="E787" s="7">
        <f t="shared" si="70"/>
        <v>0</v>
      </c>
      <c r="F787" s="7">
        <f t="shared" si="70"/>
        <v>0</v>
      </c>
      <c r="G787" s="7">
        <f t="shared" si="70"/>
        <v>0</v>
      </c>
      <c r="H787" s="7">
        <f t="shared" si="70"/>
        <v>0</v>
      </c>
      <c r="I787" s="7">
        <f t="shared" si="70"/>
        <v>0</v>
      </c>
    </row>
    <row r="788" spans="2:9" ht="9.75" outlineLevel="1">
      <c r="B788" s="22" t="str">
        <f>rail18</f>
        <v>Route 18</v>
      </c>
      <c r="C788" s="6" t="s">
        <v>273</v>
      </c>
      <c r="D788" s="7">
        <f aca="true" t="shared" si="71" ref="D788:I788">IF(D763=0,0,D724/D763)</f>
        <v>0</v>
      </c>
      <c r="E788" s="7">
        <f t="shared" si="71"/>
        <v>0</v>
      </c>
      <c r="F788" s="7">
        <f t="shared" si="71"/>
        <v>0</v>
      </c>
      <c r="G788" s="7">
        <f t="shared" si="71"/>
        <v>0</v>
      </c>
      <c r="H788" s="7">
        <f t="shared" si="71"/>
        <v>0</v>
      </c>
      <c r="I788" s="7">
        <f t="shared" si="71"/>
        <v>0</v>
      </c>
    </row>
    <row r="789" spans="2:9" ht="9.75" outlineLevel="1">
      <c r="B789" s="22" t="str">
        <f>rail19</f>
        <v>Route 19</v>
      </c>
      <c r="C789" s="6" t="s">
        <v>273</v>
      </c>
      <c r="D789" s="7">
        <f aca="true" t="shared" si="72" ref="D789:I789">IF(D764=0,0,D725/D764)</f>
        <v>0</v>
      </c>
      <c r="E789" s="7">
        <f t="shared" si="72"/>
        <v>0</v>
      </c>
      <c r="F789" s="7">
        <f t="shared" si="72"/>
        <v>0</v>
      </c>
      <c r="G789" s="7">
        <f t="shared" si="72"/>
        <v>0</v>
      </c>
      <c r="H789" s="7">
        <f t="shared" si="72"/>
        <v>0</v>
      </c>
      <c r="I789" s="7">
        <f t="shared" si="72"/>
        <v>0</v>
      </c>
    </row>
    <row r="790" spans="2:9" ht="9.75" outlineLevel="1">
      <c r="B790" s="22" t="str">
        <f>rail20</f>
        <v>Route 20</v>
      </c>
      <c r="C790" s="6" t="s">
        <v>273</v>
      </c>
      <c r="D790" s="7">
        <f aca="true" t="shared" si="73" ref="D790:I790">IF(D765=0,0,D726/D765)</f>
        <v>0</v>
      </c>
      <c r="E790" s="7">
        <f t="shared" si="73"/>
        <v>0</v>
      </c>
      <c r="F790" s="7">
        <f t="shared" si="73"/>
        <v>0</v>
      </c>
      <c r="G790" s="7">
        <f t="shared" si="73"/>
        <v>0</v>
      </c>
      <c r="H790" s="7">
        <f t="shared" si="73"/>
        <v>0</v>
      </c>
      <c r="I790" s="7">
        <f t="shared" si="73"/>
        <v>0</v>
      </c>
    </row>
    <row r="791" spans="2:9" ht="9.75" outlineLevel="1">
      <c r="B791" s="2" t="s">
        <v>295</v>
      </c>
      <c r="C791" s="6" t="s">
        <v>273</v>
      </c>
      <c r="D791" s="172">
        <f aca="true" t="shared" si="74" ref="D791:I791">SUM(D771:D790)</f>
        <v>5.773274444441278</v>
      </c>
      <c r="E791" s="172">
        <f t="shared" si="74"/>
        <v>6.157530507533441</v>
      </c>
      <c r="F791" s="172">
        <f t="shared" si="74"/>
        <v>6.204678265193442</v>
      </c>
      <c r="G791" s="172">
        <f t="shared" si="74"/>
        <v>6.253240455583241</v>
      </c>
      <c r="H791" s="172">
        <f t="shared" si="74"/>
        <v>6.303259511684736</v>
      </c>
      <c r="I791" s="172">
        <f t="shared" si="74"/>
        <v>6.354779139469274</v>
      </c>
    </row>
  </sheetData>
  <sheetProtection sheet="1" objects="1" scenarios="1"/>
  <printOptions/>
  <pageMargins left="0.7480314960629921" right="0.7480314960629921" top="0.984251968503937" bottom="0.984251968503937" header="0.5118110236220472" footer="0.5118110236220472"/>
  <pageSetup fitToHeight="5" fitToWidth="1" horizontalDpi="600" verticalDpi="600" orientation="portrait" paperSize="8" scale="64" r:id="rId1"/>
  <headerFooter alignWithMargins="0">
    <oddFooter>&amp;L&amp;F&amp;R&amp;P</oddFooter>
  </headerFooter>
</worksheet>
</file>

<file path=xl/worksheets/sheet14.xml><?xml version="1.0" encoding="utf-8"?>
<worksheet xmlns="http://schemas.openxmlformats.org/spreadsheetml/2006/main" xmlns:r="http://schemas.openxmlformats.org/officeDocument/2006/relationships">
  <sheetPr>
    <tabColor indexed="42"/>
  </sheetPr>
  <dimension ref="A1:I249"/>
  <sheetViews>
    <sheetView tabSelected="1" zoomScale="85" zoomScaleNormal="8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P57" sqref="P57"/>
    </sheetView>
  </sheetViews>
  <sheetFormatPr defaultColWidth="9.140625" defaultRowHeight="12.75" outlineLevelRow="1"/>
  <cols>
    <col min="1" max="1" width="5.57421875" style="1" bestFit="1" customWidth="1"/>
    <col min="2" max="2" width="50.421875" style="1" bestFit="1" customWidth="1"/>
    <col min="3" max="3" width="13.00390625" style="1" bestFit="1" customWidth="1"/>
    <col min="4" max="4" width="12.7109375" style="1" bestFit="1" customWidth="1"/>
    <col min="5" max="5" width="9.00390625" style="1" bestFit="1" customWidth="1"/>
    <col min="6" max="6" width="6.57421875" style="1" bestFit="1" customWidth="1"/>
    <col min="7" max="7" width="3.57421875" style="1" customWidth="1"/>
    <col min="8" max="16384" width="9.140625" style="1" customWidth="1"/>
  </cols>
  <sheetData>
    <row r="1" ht="9.75">
      <c r="A1" s="1" t="str">
        <f>IF(OR(C249="Error",COUNTIF(H22:H238,"Error")&lt;&gt;0),"Error","All Ok")</f>
        <v>All Ok</v>
      </c>
    </row>
    <row r="2" spans="2:3" ht="12">
      <c r="B2" s="14" t="str">
        <f>modelname</f>
        <v>3rd Party Access Model</v>
      </c>
      <c r="C2" s="14"/>
    </row>
    <row r="3" spans="1:3" ht="11.25">
      <c r="A3" s="24"/>
      <c r="B3" s="190" t="s">
        <v>330</v>
      </c>
      <c r="C3" s="190"/>
    </row>
    <row r="4" spans="2:3" ht="9.75">
      <c r="B4" s="171" t="str">
        <f>Contents!D107</f>
        <v>This sheet helps to check that the revenue recovered is equal to or less than the cost of the railway</v>
      </c>
      <c r="C4" s="171"/>
    </row>
    <row r="5" spans="2:9" ht="9.75">
      <c r="B5" s="192" t="str">
        <f>HYPERLINK(Contents!$A$1,"Back to Contents Page")</f>
        <v>Back to Contents Page</v>
      </c>
      <c r="C5" s="192"/>
      <c r="D5" s="255" t="s">
        <v>304</v>
      </c>
      <c r="E5" s="255"/>
      <c r="F5" s="255"/>
      <c r="H5" s="6"/>
      <c r="I5" s="9" t="str">
        <f>IF(OR(COUNTIF(H22:H238,"Error")&gt;0,COUNTIF(C249:C249,"Error")&gt;0),"Error","All Ok")</f>
        <v>All Ok</v>
      </c>
    </row>
    <row r="6" spans="3:8" ht="9.75">
      <c r="C6" s="201" t="s">
        <v>526</v>
      </c>
      <c r="D6" s="175" t="s">
        <v>301</v>
      </c>
      <c r="E6" s="175" t="s">
        <v>303</v>
      </c>
      <c r="F6" s="175" t="s">
        <v>302</v>
      </c>
      <c r="H6" s="175" t="s">
        <v>303</v>
      </c>
    </row>
    <row r="7" spans="3:8" ht="9.75">
      <c r="C7" s="201"/>
      <c r="D7" s="175"/>
      <c r="E7" s="175"/>
      <c r="F7" s="175"/>
      <c r="H7" s="175"/>
    </row>
    <row r="8" spans="2:8" ht="9.75">
      <c r="B8" s="2" t="s">
        <v>124</v>
      </c>
      <c r="C8" s="201"/>
      <c r="D8" s="175"/>
      <c r="E8" s="175"/>
      <c r="F8" s="175"/>
      <c r="H8" s="175"/>
    </row>
    <row r="9" spans="2:8" ht="9.75">
      <c r="B9" s="22" t="str">
        <f>cust1</f>
        <v>FMG - CB</v>
      </c>
      <c r="C9" s="198" t="str">
        <f>HYPERLINK(CONCATENATE(workbookname,ADDRESS(ROW('Rail Pricing'!$A$19),COLUMN('Rail Pricing'!$A$19),4,1)),"Click Here")</f>
        <v>Click Here</v>
      </c>
      <c r="D9" s="175"/>
      <c r="E9" s="175"/>
      <c r="F9" s="175"/>
      <c r="H9" s="175"/>
    </row>
    <row r="10" spans="2:8" ht="9.75">
      <c r="B10" s="22" t="str">
        <f>cust2</f>
        <v>Customer 2</v>
      </c>
      <c r="C10" s="198" t="str">
        <f>HYPERLINK(CONCATENATE(workbookname,ADDRESS(ROW('Rail Pricing'!$A$47),COLUMN('Rail Pricing'!$A$47),4,1)),"Click Here")</f>
        <v>Click Here</v>
      </c>
      <c r="D10" s="175"/>
      <c r="E10" s="175"/>
      <c r="F10" s="175"/>
      <c r="H10" s="175"/>
    </row>
    <row r="11" spans="2:8" ht="9.75">
      <c r="B11" s="22" t="str">
        <f>cust3</f>
        <v>Customer 3</v>
      </c>
      <c r="C11" s="198" t="str">
        <f>HYPERLINK(CONCATENATE(workbookname,ADDRESS(ROW('Rail Pricing'!$A$75),COLUMN('Rail Pricing'!$A$75),4,1)),"Click Here")</f>
        <v>Click Here</v>
      </c>
      <c r="D11" s="175"/>
      <c r="E11" s="175"/>
      <c r="F11" s="175"/>
      <c r="H11" s="175"/>
    </row>
    <row r="12" spans="2:8" ht="9.75">
      <c r="B12" s="22" t="str">
        <f>cust4</f>
        <v>Customer 4</v>
      </c>
      <c r="C12" s="198" t="str">
        <f>HYPERLINK(CONCATENATE(workbookname,ADDRESS(ROW('Rail Pricing'!$A$103),COLUMN('Rail Pricing'!$A$103),4,1)),"Click Here")</f>
        <v>Click Here</v>
      </c>
      <c r="D12" s="175"/>
      <c r="E12" s="175"/>
      <c r="F12" s="175"/>
      <c r="H12" s="175"/>
    </row>
    <row r="13" spans="2:8" ht="9.75">
      <c r="B13" s="22" t="str">
        <f>cust5</f>
        <v>Customer 5</v>
      </c>
      <c r="C13" s="198" t="str">
        <f>HYPERLINK(CONCATENATE(workbookname,ADDRESS(ROW('Rail Pricing'!$A$131),COLUMN('Rail Pricing'!$A$131),4,1)),"Click Here")</f>
        <v>Click Here</v>
      </c>
      <c r="D13" s="175"/>
      <c r="E13" s="175"/>
      <c r="F13" s="175"/>
      <c r="H13" s="175"/>
    </row>
    <row r="14" spans="2:8" ht="9.75">
      <c r="B14" s="22" t="str">
        <f>cust6</f>
        <v>Customer 6</v>
      </c>
      <c r="C14" s="198" t="str">
        <f>HYPERLINK(CONCATENATE(workbookname,ADDRESS(ROW('Rail Pricing'!$A$159),COLUMN('Rail Pricing'!$A$159),4,1)),"Click Here")</f>
        <v>Click Here</v>
      </c>
      <c r="D14" s="175"/>
      <c r="E14" s="175"/>
      <c r="F14" s="175"/>
      <c r="H14" s="175"/>
    </row>
    <row r="15" spans="2:8" ht="9.75">
      <c r="B15" s="22" t="str">
        <f>cust7</f>
        <v>Customer 7</v>
      </c>
      <c r="C15" s="198" t="str">
        <f>HYPERLINK(CONCATENATE(workbookname,ADDRESS(ROW('Rail Pricing'!$A$187),COLUMN('Rail Pricing'!$A$187),4,1)),"Click Here")</f>
        <v>Click Here</v>
      </c>
      <c r="D15" s="175"/>
      <c r="E15" s="175"/>
      <c r="F15" s="175"/>
      <c r="H15" s="175"/>
    </row>
    <row r="16" spans="2:8" ht="9.75">
      <c r="B16" s="22" t="str">
        <f>cust8</f>
        <v>Customer 8</v>
      </c>
      <c r="C16" s="198" t="str">
        <f>HYPERLINK(CONCATENATE(workbookname,ADDRESS(ROW('Rail Pricing'!$A$215),COLUMN('Rail Pricing'!$A$215),4,1)),"Click Here")</f>
        <v>Click Here</v>
      </c>
      <c r="D16" s="175"/>
      <c r="E16" s="175"/>
      <c r="F16" s="175"/>
      <c r="H16" s="175"/>
    </row>
    <row r="17" spans="2:8" ht="9.75">
      <c r="B17" s="199" t="s">
        <v>645</v>
      </c>
      <c r="C17" s="198" t="str">
        <f>HYPERLINK(CONCATENATE(workbookname,ADDRESS(ROW('Rail Pricing'!$A$243),COLUMN('Rail Pricing'!$A$243),4,1)),"Click Here")</f>
        <v>Click Here</v>
      </c>
      <c r="D17" s="175"/>
      <c r="E17" s="175"/>
      <c r="F17" s="175"/>
      <c r="H17" s="175"/>
    </row>
    <row r="18" spans="3:8" ht="9.75">
      <c r="C18" s="201"/>
      <c r="D18" s="175"/>
      <c r="E18" s="175"/>
      <c r="F18" s="175"/>
      <c r="H18" s="175"/>
    </row>
    <row r="19" spans="1:3" ht="9.75">
      <c r="A19" s="198" t="str">
        <f>HYPERLINK(CONCATENATE(workbookname,"$A$7"),"Top")</f>
        <v>Top</v>
      </c>
      <c r="B19" s="2" t="str">
        <f>cust1</f>
        <v>FMG - CB</v>
      </c>
      <c r="C19" s="2"/>
    </row>
    <row r="20" spans="2:3" ht="9.75">
      <c r="B20" s="171" t="str">
        <f>Contents!D108</f>
        <v>Suggested and contracted pricing associated to this customer</v>
      </c>
      <c r="C20" s="2"/>
    </row>
    <row r="21" ht="9.75" outlineLevel="1">
      <c r="B21" s="1" t="s">
        <v>305</v>
      </c>
    </row>
    <row r="22" spans="2:8" ht="9.75" outlineLevel="1">
      <c r="B22" s="22" t="str">
        <f>rail1</f>
        <v>Cloudbreak to Port Dumper</v>
      </c>
      <c r="C22" s="6">
        <f aca="true" t="shared" si="0" ref="C22:C41">IF(VLOOKUP($B22,railswitch,MATCH(B$19,railswitchhead,FALSE),FALSE)="On",1,0)</f>
        <v>1</v>
      </c>
      <c r="D22" s="16">
        <f>'Rail Cost Summary'!$D$354*C22</f>
        <v>5.075144176360463</v>
      </c>
      <c r="E22" s="210"/>
      <c r="F22" s="16">
        <f>'Rail Cost Summary'!$D$771*C22</f>
        <v>5.773274444441278</v>
      </c>
      <c r="H22" s="6" t="str">
        <f aca="true" t="shared" si="1" ref="H22:H42">IF(OR(E22=0,AND(E22&gt;=$D22,E22&lt;=$F22)),"Ok","Error")</f>
        <v>Ok</v>
      </c>
    </row>
    <row r="23" spans="2:8" ht="9.75" outlineLevel="1">
      <c r="B23" s="22" t="str">
        <f>rail2</f>
        <v>Route 2</v>
      </c>
      <c r="C23" s="6">
        <f t="shared" si="0"/>
        <v>0</v>
      </c>
      <c r="D23" s="16">
        <f>'Rail Cost Summary'!$D$355*C23</f>
        <v>0</v>
      </c>
      <c r="E23" s="210"/>
      <c r="F23" s="16">
        <f>'Rail Cost Summary'!$D$772*C23</f>
        <v>0</v>
      </c>
      <c r="H23" s="6" t="str">
        <f t="shared" si="1"/>
        <v>Ok</v>
      </c>
    </row>
    <row r="24" spans="2:8" ht="9.75" outlineLevel="1">
      <c r="B24" s="22" t="str">
        <f>rail3</f>
        <v>Route 3</v>
      </c>
      <c r="C24" s="6">
        <f t="shared" si="0"/>
        <v>0</v>
      </c>
      <c r="D24" s="16">
        <f>'Rail Cost Summary'!$D$356*C24</f>
        <v>0</v>
      </c>
      <c r="E24" s="210"/>
      <c r="F24" s="16">
        <f>'Rail Cost Summary'!$D$773*C24</f>
        <v>0</v>
      </c>
      <c r="H24" s="6" t="str">
        <f t="shared" si="1"/>
        <v>Ok</v>
      </c>
    </row>
    <row r="25" spans="2:8" ht="9.75" outlineLevel="1">
      <c r="B25" s="22" t="str">
        <f>rail4</f>
        <v>Route 4</v>
      </c>
      <c r="C25" s="6">
        <f t="shared" si="0"/>
        <v>0</v>
      </c>
      <c r="D25" s="16">
        <f>'Rail Cost Summary'!$D$357*C25</f>
        <v>0</v>
      </c>
      <c r="E25" s="210"/>
      <c r="F25" s="16">
        <f>'Rail Cost Summary'!$D$774*C25</f>
        <v>0</v>
      </c>
      <c r="H25" s="6" t="str">
        <f t="shared" si="1"/>
        <v>Ok</v>
      </c>
    </row>
    <row r="26" spans="2:8" ht="9.75" outlineLevel="1">
      <c r="B26" s="22" t="str">
        <f>rail5</f>
        <v>Route 5</v>
      </c>
      <c r="C26" s="6">
        <f t="shared" si="0"/>
        <v>0</v>
      </c>
      <c r="D26" s="16">
        <f>'Rail Cost Summary'!$D$358*C26</f>
        <v>0</v>
      </c>
      <c r="E26" s="210"/>
      <c r="F26" s="16">
        <f>'Rail Cost Summary'!$D$775*C26</f>
        <v>0</v>
      </c>
      <c r="H26" s="6" t="str">
        <f t="shared" si="1"/>
        <v>Ok</v>
      </c>
    </row>
    <row r="27" spans="2:8" ht="9.75" outlineLevel="1">
      <c r="B27" s="22" t="str">
        <f>rail6</f>
        <v>Route 6</v>
      </c>
      <c r="C27" s="6">
        <f t="shared" si="0"/>
        <v>0</v>
      </c>
      <c r="D27" s="16">
        <f>'Rail Cost Summary'!$D$359*C27</f>
        <v>0</v>
      </c>
      <c r="E27" s="210"/>
      <c r="F27" s="16">
        <f>'Rail Cost Summary'!$D$776*C27</f>
        <v>0</v>
      </c>
      <c r="H27" s="6" t="str">
        <f t="shared" si="1"/>
        <v>Ok</v>
      </c>
    </row>
    <row r="28" spans="2:8" ht="9.75" outlineLevel="1">
      <c r="B28" s="22" t="str">
        <f>rail7</f>
        <v>Route 7</v>
      </c>
      <c r="C28" s="6">
        <f t="shared" si="0"/>
        <v>0</v>
      </c>
      <c r="D28" s="16">
        <f>'Rail Cost Summary'!$D$360*C28</f>
        <v>0</v>
      </c>
      <c r="E28" s="210"/>
      <c r="F28" s="16">
        <f>'Rail Cost Summary'!$D$777*C28</f>
        <v>0</v>
      </c>
      <c r="H28" s="6" t="str">
        <f t="shared" si="1"/>
        <v>Ok</v>
      </c>
    </row>
    <row r="29" spans="2:8" ht="9.75" outlineLevel="1">
      <c r="B29" s="22" t="str">
        <f>rail8</f>
        <v>Route 8</v>
      </c>
      <c r="C29" s="6">
        <f t="shared" si="0"/>
        <v>0</v>
      </c>
      <c r="D29" s="16">
        <f>'Rail Cost Summary'!$D$361*C29</f>
        <v>0</v>
      </c>
      <c r="E29" s="210"/>
      <c r="F29" s="16">
        <f>'Rail Cost Summary'!$D$778*C29</f>
        <v>0</v>
      </c>
      <c r="H29" s="6" t="str">
        <f t="shared" si="1"/>
        <v>Ok</v>
      </c>
    </row>
    <row r="30" spans="2:8" ht="9.75" outlineLevel="1">
      <c r="B30" s="22" t="str">
        <f>rail9</f>
        <v>Route 9</v>
      </c>
      <c r="C30" s="6">
        <f t="shared" si="0"/>
        <v>0</v>
      </c>
      <c r="D30" s="16">
        <f>'Rail Cost Summary'!$D$362*C30</f>
        <v>0</v>
      </c>
      <c r="E30" s="210"/>
      <c r="F30" s="16">
        <f>'Rail Cost Summary'!$D$779*C30</f>
        <v>0</v>
      </c>
      <c r="H30" s="6" t="str">
        <f t="shared" si="1"/>
        <v>Ok</v>
      </c>
    </row>
    <row r="31" spans="2:8" ht="9.75" outlineLevel="1">
      <c r="B31" s="22" t="str">
        <f>rail10</f>
        <v>Route 10</v>
      </c>
      <c r="C31" s="6">
        <f t="shared" si="0"/>
        <v>0</v>
      </c>
      <c r="D31" s="16">
        <f>'Rail Cost Summary'!$D$363*C31</f>
        <v>0</v>
      </c>
      <c r="E31" s="210"/>
      <c r="F31" s="16">
        <f>'Rail Cost Summary'!$D$780*C31</f>
        <v>0</v>
      </c>
      <c r="H31" s="6" t="str">
        <f t="shared" si="1"/>
        <v>Ok</v>
      </c>
    </row>
    <row r="32" spans="2:8" ht="9.75" outlineLevel="1">
      <c r="B32" s="22" t="str">
        <f>rail11</f>
        <v>Route 11</v>
      </c>
      <c r="C32" s="6">
        <f t="shared" si="0"/>
        <v>0</v>
      </c>
      <c r="D32" s="16">
        <f>'Rail Cost Summary'!$D$364*C32</f>
        <v>0</v>
      </c>
      <c r="E32" s="210"/>
      <c r="F32" s="16">
        <f>'Rail Cost Summary'!$D$781*C32</f>
        <v>0</v>
      </c>
      <c r="H32" s="6" t="str">
        <f t="shared" si="1"/>
        <v>Ok</v>
      </c>
    </row>
    <row r="33" spans="2:8" ht="9.75" outlineLevel="1">
      <c r="B33" s="22" t="str">
        <f>rail12</f>
        <v>Route 12</v>
      </c>
      <c r="C33" s="6">
        <f t="shared" si="0"/>
        <v>0</v>
      </c>
      <c r="D33" s="16">
        <f>'Rail Cost Summary'!$D$365*C33</f>
        <v>0</v>
      </c>
      <c r="E33" s="210"/>
      <c r="F33" s="16">
        <f>'Rail Cost Summary'!$D$782*C33</f>
        <v>0</v>
      </c>
      <c r="H33" s="6" t="str">
        <f t="shared" si="1"/>
        <v>Ok</v>
      </c>
    </row>
    <row r="34" spans="2:8" ht="9.75" outlineLevel="1">
      <c r="B34" s="22" t="str">
        <f>rail13</f>
        <v>Route 13</v>
      </c>
      <c r="C34" s="6">
        <f t="shared" si="0"/>
        <v>0</v>
      </c>
      <c r="D34" s="16">
        <f>'Rail Cost Summary'!$D$366*C34</f>
        <v>0</v>
      </c>
      <c r="E34" s="210"/>
      <c r="F34" s="16">
        <f>'Rail Cost Summary'!$D$783*C34</f>
        <v>0</v>
      </c>
      <c r="H34" s="6" t="str">
        <f t="shared" si="1"/>
        <v>Ok</v>
      </c>
    </row>
    <row r="35" spans="2:8" ht="9.75" outlineLevel="1">
      <c r="B35" s="22" t="str">
        <f>rail14</f>
        <v>Route 14</v>
      </c>
      <c r="C35" s="6">
        <f t="shared" si="0"/>
        <v>0</v>
      </c>
      <c r="D35" s="16">
        <f>'Rail Cost Summary'!$D$367*C35</f>
        <v>0</v>
      </c>
      <c r="E35" s="210"/>
      <c r="F35" s="16">
        <f>'Rail Cost Summary'!$D$784*C35</f>
        <v>0</v>
      </c>
      <c r="H35" s="6" t="str">
        <f t="shared" si="1"/>
        <v>Ok</v>
      </c>
    </row>
    <row r="36" spans="2:8" ht="9.75" outlineLevel="1">
      <c r="B36" s="22" t="str">
        <f>rail15</f>
        <v>Route 15</v>
      </c>
      <c r="C36" s="6">
        <f t="shared" si="0"/>
        <v>0</v>
      </c>
      <c r="D36" s="16">
        <f>'Rail Cost Summary'!$D$368*C36</f>
        <v>0</v>
      </c>
      <c r="E36" s="210"/>
      <c r="F36" s="16">
        <f>'Rail Cost Summary'!$D$785*C36</f>
        <v>0</v>
      </c>
      <c r="H36" s="6" t="str">
        <f t="shared" si="1"/>
        <v>Ok</v>
      </c>
    </row>
    <row r="37" spans="2:8" ht="9.75" outlineLevel="1">
      <c r="B37" s="22" t="str">
        <f>rail16</f>
        <v>Route 16</v>
      </c>
      <c r="C37" s="6">
        <f t="shared" si="0"/>
        <v>0</v>
      </c>
      <c r="D37" s="16">
        <f>'Rail Cost Summary'!$D$369*C37</f>
        <v>0</v>
      </c>
      <c r="E37" s="210"/>
      <c r="F37" s="16">
        <f>'Rail Cost Summary'!$D$786*C37</f>
        <v>0</v>
      </c>
      <c r="H37" s="6" t="str">
        <f t="shared" si="1"/>
        <v>Ok</v>
      </c>
    </row>
    <row r="38" spans="2:8" ht="9.75" outlineLevel="1">
      <c r="B38" s="22" t="str">
        <f>rail17</f>
        <v>Route 17</v>
      </c>
      <c r="C38" s="6">
        <f t="shared" si="0"/>
        <v>0</v>
      </c>
      <c r="D38" s="16">
        <f>'Rail Cost Summary'!$D$370*C38</f>
        <v>0</v>
      </c>
      <c r="E38" s="210"/>
      <c r="F38" s="16">
        <f>'Rail Cost Summary'!$D$787*C38</f>
        <v>0</v>
      </c>
      <c r="H38" s="6" t="str">
        <f t="shared" si="1"/>
        <v>Ok</v>
      </c>
    </row>
    <row r="39" spans="2:8" ht="9.75" outlineLevel="1">
      <c r="B39" s="22" t="str">
        <f>rail18</f>
        <v>Route 18</v>
      </c>
      <c r="C39" s="6">
        <f t="shared" si="0"/>
        <v>0</v>
      </c>
      <c r="D39" s="16">
        <f>'Rail Cost Summary'!$D$371*C39</f>
        <v>0</v>
      </c>
      <c r="E39" s="210"/>
      <c r="F39" s="16">
        <f>'Rail Cost Summary'!$D$788*C39</f>
        <v>0</v>
      </c>
      <c r="H39" s="6" t="str">
        <f t="shared" si="1"/>
        <v>Ok</v>
      </c>
    </row>
    <row r="40" spans="2:8" ht="9.75" outlineLevel="1">
      <c r="B40" s="22" t="str">
        <f>rail19</f>
        <v>Route 19</v>
      </c>
      <c r="C40" s="6">
        <f t="shared" si="0"/>
        <v>0</v>
      </c>
      <c r="D40" s="16">
        <f>'Rail Cost Summary'!$D$372*C40</f>
        <v>0</v>
      </c>
      <c r="E40" s="210"/>
      <c r="F40" s="16">
        <f>'Rail Cost Summary'!$D$789*C40</f>
        <v>0</v>
      </c>
      <c r="H40" s="6" t="str">
        <f t="shared" si="1"/>
        <v>Ok</v>
      </c>
    </row>
    <row r="41" spans="2:8" ht="9.75" outlineLevel="1">
      <c r="B41" s="22" t="str">
        <f>rail20</f>
        <v>Route 20</v>
      </c>
      <c r="C41" s="6">
        <f t="shared" si="0"/>
        <v>0</v>
      </c>
      <c r="D41" s="16">
        <f>'Rail Cost Summary'!$D$373*C41</f>
        <v>0</v>
      </c>
      <c r="E41" s="210"/>
      <c r="F41" s="16">
        <f>'Rail Cost Summary'!$D$790*C41</f>
        <v>0</v>
      </c>
      <c r="H41" s="6" t="str">
        <f t="shared" si="1"/>
        <v>Ok</v>
      </c>
    </row>
    <row r="42" spans="2:8" ht="9.75" outlineLevel="1">
      <c r="B42" s="1" t="s">
        <v>94</v>
      </c>
      <c r="D42" s="21">
        <f>SUM(D22:D41)</f>
        <v>5.075144176360463</v>
      </c>
      <c r="E42" s="21">
        <f>SUM(E22:E41)</f>
        <v>0</v>
      </c>
      <c r="F42" s="21">
        <f>SUM(F22:F41)</f>
        <v>5.773274444441278</v>
      </c>
      <c r="H42" s="6" t="str">
        <f t="shared" si="1"/>
        <v>Ok</v>
      </c>
    </row>
    <row r="43" spans="2:3" ht="9.75" outlineLevel="1">
      <c r="B43" s="13" t="s">
        <v>306</v>
      </c>
      <c r="C43" s="13"/>
    </row>
    <row r="44" spans="2:4" ht="9.75" outlineLevel="1">
      <c r="B44" s="1" t="s">
        <v>288</v>
      </c>
      <c r="D44" s="8">
        <f>VLOOKUP(B19,custdata,2,FALSE)</f>
        <v>40000000</v>
      </c>
    </row>
    <row r="45" spans="2:4" ht="9.75" outlineLevel="1">
      <c r="B45" s="1" t="s">
        <v>307</v>
      </c>
      <c r="D45" s="8">
        <f>E70*D72</f>
        <v>0</v>
      </c>
    </row>
    <row r="47" spans="1:3" ht="9.75">
      <c r="A47" s="198" t="str">
        <f>HYPERLINK(CONCATENATE(workbookname,"$A$7"),"Top")</f>
        <v>Top</v>
      </c>
      <c r="B47" s="2" t="str">
        <f>cust2</f>
        <v>Customer 2</v>
      </c>
      <c r="C47" s="2"/>
    </row>
    <row r="48" spans="2:3" ht="9.75">
      <c r="B48" s="171" t="str">
        <f>Contents!D109</f>
        <v>Suggested and contracted pricing associated to this customer</v>
      </c>
      <c r="C48" s="2"/>
    </row>
    <row r="49" ht="9.75" outlineLevel="1">
      <c r="B49" s="1" t="s">
        <v>305</v>
      </c>
    </row>
    <row r="50" spans="2:8" ht="9.75" outlineLevel="1">
      <c r="B50" s="22" t="str">
        <f>rail1</f>
        <v>Cloudbreak to Port Dumper</v>
      </c>
      <c r="C50" s="6">
        <f aca="true" t="shared" si="2" ref="C50:C69">IF(VLOOKUP($B50,railswitch,MATCH(B$47,railswitchhead,FALSE),FALSE)="On",1,0)</f>
        <v>0</v>
      </c>
      <c r="D50" s="16">
        <f>'Rail Cost Summary'!$D$354*C50</f>
        <v>0</v>
      </c>
      <c r="E50" s="210"/>
      <c r="F50" s="16">
        <f>'Rail Cost Summary'!$D$771*C50</f>
        <v>0</v>
      </c>
      <c r="H50" s="6" t="str">
        <f aca="true" t="shared" si="3" ref="H50:H70">IF(OR(E50=0,AND(E50&gt;=$D50,E50&lt;=$F50)),"Ok","Error")</f>
        <v>Ok</v>
      </c>
    </row>
    <row r="51" spans="2:8" ht="9.75" outlineLevel="1">
      <c r="B51" s="22" t="str">
        <f>rail2</f>
        <v>Route 2</v>
      </c>
      <c r="C51" s="6">
        <f t="shared" si="2"/>
        <v>0</v>
      </c>
      <c r="D51" s="16">
        <f>'Rail Cost Summary'!$D$355*C51</f>
        <v>0</v>
      </c>
      <c r="E51" s="210"/>
      <c r="F51" s="16">
        <f>'Rail Cost Summary'!$D$772*C51</f>
        <v>0</v>
      </c>
      <c r="H51" s="6" t="str">
        <f t="shared" si="3"/>
        <v>Ok</v>
      </c>
    </row>
    <row r="52" spans="2:8" ht="9.75" outlineLevel="1">
      <c r="B52" s="22" t="str">
        <f>rail3</f>
        <v>Route 3</v>
      </c>
      <c r="C52" s="6">
        <f t="shared" si="2"/>
        <v>0</v>
      </c>
      <c r="D52" s="16">
        <f>'Rail Cost Summary'!$D$356*C52</f>
        <v>0</v>
      </c>
      <c r="E52" s="210"/>
      <c r="F52" s="16">
        <f>'Rail Cost Summary'!$D$773*C52</f>
        <v>0</v>
      </c>
      <c r="H52" s="6" t="str">
        <f t="shared" si="3"/>
        <v>Ok</v>
      </c>
    </row>
    <row r="53" spans="2:8" ht="9.75" outlineLevel="1">
      <c r="B53" s="22" t="str">
        <f>rail4</f>
        <v>Route 4</v>
      </c>
      <c r="C53" s="6">
        <f t="shared" si="2"/>
        <v>0</v>
      </c>
      <c r="D53" s="16">
        <f>'Rail Cost Summary'!$D$357*C53</f>
        <v>0</v>
      </c>
      <c r="E53" s="210"/>
      <c r="F53" s="16">
        <f>'Rail Cost Summary'!$D$774*C53</f>
        <v>0</v>
      </c>
      <c r="H53" s="6" t="str">
        <f t="shared" si="3"/>
        <v>Ok</v>
      </c>
    </row>
    <row r="54" spans="2:8" ht="9.75" outlineLevel="1">
      <c r="B54" s="22" t="str">
        <f>rail5</f>
        <v>Route 5</v>
      </c>
      <c r="C54" s="6">
        <f t="shared" si="2"/>
        <v>0</v>
      </c>
      <c r="D54" s="16">
        <f>'Rail Cost Summary'!$D$358*C54</f>
        <v>0</v>
      </c>
      <c r="E54" s="210"/>
      <c r="F54" s="16">
        <f>'Rail Cost Summary'!$D$775*C54</f>
        <v>0</v>
      </c>
      <c r="H54" s="6" t="str">
        <f t="shared" si="3"/>
        <v>Ok</v>
      </c>
    </row>
    <row r="55" spans="2:8" ht="9.75" outlineLevel="1">
      <c r="B55" s="22" t="str">
        <f>rail6</f>
        <v>Route 6</v>
      </c>
      <c r="C55" s="6">
        <f t="shared" si="2"/>
        <v>0</v>
      </c>
      <c r="D55" s="16">
        <f>'Rail Cost Summary'!$D$359*C55</f>
        <v>0</v>
      </c>
      <c r="E55" s="210"/>
      <c r="F55" s="16">
        <f>'Rail Cost Summary'!$D$776*C55</f>
        <v>0</v>
      </c>
      <c r="H55" s="6" t="str">
        <f t="shared" si="3"/>
        <v>Ok</v>
      </c>
    </row>
    <row r="56" spans="2:8" ht="9.75" outlineLevel="1">
      <c r="B56" s="22" t="str">
        <f>rail7</f>
        <v>Route 7</v>
      </c>
      <c r="C56" s="6">
        <f t="shared" si="2"/>
        <v>0</v>
      </c>
      <c r="D56" s="16">
        <f>'Rail Cost Summary'!$D$360*C56</f>
        <v>0</v>
      </c>
      <c r="E56" s="210"/>
      <c r="F56" s="16">
        <f>'Rail Cost Summary'!$D$777*C56</f>
        <v>0</v>
      </c>
      <c r="H56" s="6" t="str">
        <f t="shared" si="3"/>
        <v>Ok</v>
      </c>
    </row>
    <row r="57" spans="2:8" ht="9.75" outlineLevel="1">
      <c r="B57" s="22" t="str">
        <f>rail8</f>
        <v>Route 8</v>
      </c>
      <c r="C57" s="6">
        <f t="shared" si="2"/>
        <v>0</v>
      </c>
      <c r="D57" s="16">
        <f>'Rail Cost Summary'!$D$361*C57</f>
        <v>0</v>
      </c>
      <c r="E57" s="210"/>
      <c r="F57" s="16">
        <f>'Rail Cost Summary'!$D$778*C57</f>
        <v>0</v>
      </c>
      <c r="H57" s="6" t="str">
        <f t="shared" si="3"/>
        <v>Ok</v>
      </c>
    </row>
    <row r="58" spans="2:8" ht="9.75" outlineLevel="1">
      <c r="B58" s="22" t="str">
        <f>rail9</f>
        <v>Route 9</v>
      </c>
      <c r="C58" s="6">
        <f t="shared" si="2"/>
        <v>0</v>
      </c>
      <c r="D58" s="16">
        <f>'Rail Cost Summary'!$D$362*C58</f>
        <v>0</v>
      </c>
      <c r="E58" s="210"/>
      <c r="F58" s="16">
        <f>'Rail Cost Summary'!$D$779*C58</f>
        <v>0</v>
      </c>
      <c r="H58" s="6" t="str">
        <f t="shared" si="3"/>
        <v>Ok</v>
      </c>
    </row>
    <row r="59" spans="2:8" ht="9.75" outlineLevel="1">
      <c r="B59" s="22" t="str">
        <f>rail10</f>
        <v>Route 10</v>
      </c>
      <c r="C59" s="6">
        <f t="shared" si="2"/>
        <v>0</v>
      </c>
      <c r="D59" s="16">
        <f>'Rail Cost Summary'!$D$363*C59</f>
        <v>0</v>
      </c>
      <c r="E59" s="210"/>
      <c r="F59" s="16">
        <f>'Rail Cost Summary'!$D$780*C59</f>
        <v>0</v>
      </c>
      <c r="H59" s="6" t="str">
        <f t="shared" si="3"/>
        <v>Ok</v>
      </c>
    </row>
    <row r="60" spans="2:8" ht="9.75" outlineLevel="1">
      <c r="B60" s="22" t="str">
        <f>rail11</f>
        <v>Route 11</v>
      </c>
      <c r="C60" s="6">
        <f t="shared" si="2"/>
        <v>0</v>
      </c>
      <c r="D60" s="16">
        <f>'Rail Cost Summary'!$D$364*C60</f>
        <v>0</v>
      </c>
      <c r="E60" s="210"/>
      <c r="F60" s="16">
        <f>'Rail Cost Summary'!$D$781*C60</f>
        <v>0</v>
      </c>
      <c r="H60" s="6" t="str">
        <f t="shared" si="3"/>
        <v>Ok</v>
      </c>
    </row>
    <row r="61" spans="2:8" ht="9.75" outlineLevel="1">
      <c r="B61" s="22" t="str">
        <f>rail12</f>
        <v>Route 12</v>
      </c>
      <c r="C61" s="6">
        <f t="shared" si="2"/>
        <v>0</v>
      </c>
      <c r="D61" s="16">
        <f>'Rail Cost Summary'!$D$365*C61</f>
        <v>0</v>
      </c>
      <c r="E61" s="210"/>
      <c r="F61" s="16">
        <f>'Rail Cost Summary'!$D$782*C61</f>
        <v>0</v>
      </c>
      <c r="H61" s="6" t="str">
        <f t="shared" si="3"/>
        <v>Ok</v>
      </c>
    </row>
    <row r="62" spans="2:8" ht="9.75" outlineLevel="1">
      <c r="B62" s="22" t="str">
        <f>rail13</f>
        <v>Route 13</v>
      </c>
      <c r="C62" s="6">
        <f t="shared" si="2"/>
        <v>0</v>
      </c>
      <c r="D62" s="16">
        <f>'Rail Cost Summary'!$D$366*C62</f>
        <v>0</v>
      </c>
      <c r="E62" s="210"/>
      <c r="F62" s="16">
        <f>'Rail Cost Summary'!$D$783*C62</f>
        <v>0</v>
      </c>
      <c r="H62" s="6" t="str">
        <f t="shared" si="3"/>
        <v>Ok</v>
      </c>
    </row>
    <row r="63" spans="2:8" ht="9.75" outlineLevel="1">
      <c r="B63" s="22" t="str">
        <f>rail14</f>
        <v>Route 14</v>
      </c>
      <c r="C63" s="6">
        <f t="shared" si="2"/>
        <v>0</v>
      </c>
      <c r="D63" s="16">
        <f>'Rail Cost Summary'!$D$367*C63</f>
        <v>0</v>
      </c>
      <c r="E63" s="210"/>
      <c r="F63" s="16">
        <f>'Rail Cost Summary'!$D$784*C63</f>
        <v>0</v>
      </c>
      <c r="H63" s="6" t="str">
        <f t="shared" si="3"/>
        <v>Ok</v>
      </c>
    </row>
    <row r="64" spans="2:8" ht="9.75" outlineLevel="1">
      <c r="B64" s="22" t="str">
        <f>rail15</f>
        <v>Route 15</v>
      </c>
      <c r="C64" s="6">
        <f t="shared" si="2"/>
        <v>0</v>
      </c>
      <c r="D64" s="16">
        <f>'Rail Cost Summary'!$D$368*C64</f>
        <v>0</v>
      </c>
      <c r="E64" s="210"/>
      <c r="F64" s="16">
        <f>'Rail Cost Summary'!$D$785*C64</f>
        <v>0</v>
      </c>
      <c r="H64" s="6" t="str">
        <f t="shared" si="3"/>
        <v>Ok</v>
      </c>
    </row>
    <row r="65" spans="2:8" ht="9.75" outlineLevel="1">
      <c r="B65" s="22" t="str">
        <f>rail16</f>
        <v>Route 16</v>
      </c>
      <c r="C65" s="6">
        <f t="shared" si="2"/>
        <v>0</v>
      </c>
      <c r="D65" s="16">
        <f>'Rail Cost Summary'!$D$369*C65</f>
        <v>0</v>
      </c>
      <c r="E65" s="210"/>
      <c r="F65" s="16">
        <f>'Rail Cost Summary'!$D$786*C65</f>
        <v>0</v>
      </c>
      <c r="H65" s="6" t="str">
        <f t="shared" si="3"/>
        <v>Ok</v>
      </c>
    </row>
    <row r="66" spans="2:8" ht="9.75" outlineLevel="1">
      <c r="B66" s="22" t="str">
        <f>rail17</f>
        <v>Route 17</v>
      </c>
      <c r="C66" s="6">
        <f t="shared" si="2"/>
        <v>0</v>
      </c>
      <c r="D66" s="16">
        <f>'Rail Cost Summary'!$D$370*C66</f>
        <v>0</v>
      </c>
      <c r="E66" s="210"/>
      <c r="F66" s="16">
        <f>'Rail Cost Summary'!$D$787*C66</f>
        <v>0</v>
      </c>
      <c r="H66" s="6" t="str">
        <f t="shared" si="3"/>
        <v>Ok</v>
      </c>
    </row>
    <row r="67" spans="2:8" ht="9.75" outlineLevel="1">
      <c r="B67" s="22" t="str">
        <f>rail18</f>
        <v>Route 18</v>
      </c>
      <c r="C67" s="6">
        <f t="shared" si="2"/>
        <v>0</v>
      </c>
      <c r="D67" s="16">
        <f>'Rail Cost Summary'!$D$371*C67</f>
        <v>0</v>
      </c>
      <c r="E67" s="210"/>
      <c r="F67" s="16">
        <f>'Rail Cost Summary'!$D$788*C67</f>
        <v>0</v>
      </c>
      <c r="H67" s="6" t="str">
        <f t="shared" si="3"/>
        <v>Ok</v>
      </c>
    </row>
    <row r="68" spans="2:8" ht="9.75" outlineLevel="1">
      <c r="B68" s="22" t="str">
        <f>rail19</f>
        <v>Route 19</v>
      </c>
      <c r="C68" s="6">
        <f t="shared" si="2"/>
        <v>0</v>
      </c>
      <c r="D68" s="16">
        <f>'Rail Cost Summary'!$D$372*C68</f>
        <v>0</v>
      </c>
      <c r="E68" s="210"/>
      <c r="F68" s="16">
        <f>'Rail Cost Summary'!$D$789*C68</f>
        <v>0</v>
      </c>
      <c r="H68" s="6" t="str">
        <f t="shared" si="3"/>
        <v>Ok</v>
      </c>
    </row>
    <row r="69" spans="2:8" ht="9.75" outlineLevel="1">
      <c r="B69" s="22" t="str">
        <f>rail20</f>
        <v>Route 20</v>
      </c>
      <c r="C69" s="6">
        <f t="shared" si="2"/>
        <v>0</v>
      </c>
      <c r="D69" s="16">
        <f>'Rail Cost Summary'!$D$373*C69</f>
        <v>0</v>
      </c>
      <c r="E69" s="210"/>
      <c r="F69" s="16">
        <f>'Rail Cost Summary'!$D$790*C69</f>
        <v>0</v>
      </c>
      <c r="H69" s="6" t="str">
        <f t="shared" si="3"/>
        <v>Ok</v>
      </c>
    </row>
    <row r="70" spans="2:8" ht="9.75" outlineLevel="1">
      <c r="B70" s="1" t="s">
        <v>94</v>
      </c>
      <c r="C70" s="6"/>
      <c r="D70" s="21">
        <f>SUM(D50:D69)</f>
        <v>0</v>
      </c>
      <c r="E70" s="21">
        <f>SUM(E50:E69)</f>
        <v>0</v>
      </c>
      <c r="F70" s="21">
        <f>SUM(F50:F69)</f>
        <v>0</v>
      </c>
      <c r="H70" s="6" t="str">
        <f t="shared" si="3"/>
        <v>Ok</v>
      </c>
    </row>
    <row r="71" spans="2:3" ht="9.75" outlineLevel="1">
      <c r="B71" s="13" t="s">
        <v>306</v>
      </c>
      <c r="C71" s="6"/>
    </row>
    <row r="72" spans="2:4" ht="9.75" outlineLevel="1">
      <c r="B72" s="1" t="s">
        <v>288</v>
      </c>
      <c r="C72" s="6"/>
      <c r="D72" s="8">
        <f>VLOOKUP(B47,custdata,2,FALSE)</f>
        <v>0</v>
      </c>
    </row>
    <row r="73" spans="2:4" ht="9.75" outlineLevel="1">
      <c r="B73" s="1" t="s">
        <v>307</v>
      </c>
      <c r="C73" s="6"/>
      <c r="D73" s="8">
        <f>E98*D100</f>
        <v>0</v>
      </c>
    </row>
    <row r="75" spans="1:3" ht="9.75">
      <c r="A75" s="198" t="str">
        <f>HYPERLINK(CONCATENATE(workbookname,"$A$7"),"Top")</f>
        <v>Top</v>
      </c>
      <c r="B75" s="2" t="str">
        <f>cust3</f>
        <v>Customer 3</v>
      </c>
      <c r="C75" s="2"/>
    </row>
    <row r="76" spans="2:3" ht="9.75">
      <c r="B76" s="171" t="str">
        <f>Contents!D110</f>
        <v>Suggested and contracted pricing associated to this customer</v>
      </c>
      <c r="C76" s="2"/>
    </row>
    <row r="77" ht="9.75" outlineLevel="1">
      <c r="B77" s="1" t="s">
        <v>305</v>
      </c>
    </row>
    <row r="78" spans="2:8" ht="9.75" outlineLevel="1">
      <c r="B78" s="22" t="str">
        <f>rail1</f>
        <v>Cloudbreak to Port Dumper</v>
      </c>
      <c r="C78" s="6">
        <f aca="true" t="shared" si="4" ref="C78:C97">IF(VLOOKUP($B78,railswitch,MATCH(B$75,railswitchhead,FALSE),FALSE)="On",1,0)</f>
        <v>0</v>
      </c>
      <c r="D78" s="16">
        <f>'Rail Cost Summary'!$D$354*C78</f>
        <v>0</v>
      </c>
      <c r="E78" s="210"/>
      <c r="F78" s="16">
        <f>'Rail Cost Summary'!$D$771*C78</f>
        <v>0</v>
      </c>
      <c r="H78" s="6" t="str">
        <f aca="true" t="shared" si="5" ref="H78:H98">IF(OR(E78=0,AND(E78&gt;=$D78,E78&lt;=$F78)),"Ok","Error")</f>
        <v>Ok</v>
      </c>
    </row>
    <row r="79" spans="2:8" ht="9.75" outlineLevel="1">
      <c r="B79" s="22" t="str">
        <f>rail2</f>
        <v>Route 2</v>
      </c>
      <c r="C79" s="6">
        <f t="shared" si="4"/>
        <v>0</v>
      </c>
      <c r="D79" s="16">
        <f>'Rail Cost Summary'!$D$355*C79</f>
        <v>0</v>
      </c>
      <c r="E79" s="210"/>
      <c r="F79" s="16">
        <f>'Rail Cost Summary'!$D$772*C79</f>
        <v>0</v>
      </c>
      <c r="H79" s="6" t="str">
        <f t="shared" si="5"/>
        <v>Ok</v>
      </c>
    </row>
    <row r="80" spans="2:8" ht="9.75" outlineLevel="1">
      <c r="B80" s="22" t="str">
        <f>rail3</f>
        <v>Route 3</v>
      </c>
      <c r="C80" s="6">
        <f t="shared" si="4"/>
        <v>0</v>
      </c>
      <c r="D80" s="16">
        <f>'Rail Cost Summary'!$D$356*C80</f>
        <v>0</v>
      </c>
      <c r="E80" s="210"/>
      <c r="F80" s="16">
        <f>'Rail Cost Summary'!$D$773*C80</f>
        <v>0</v>
      </c>
      <c r="H80" s="6" t="str">
        <f t="shared" si="5"/>
        <v>Ok</v>
      </c>
    </row>
    <row r="81" spans="2:8" ht="9.75" outlineLevel="1">
      <c r="B81" s="22" t="str">
        <f>rail4</f>
        <v>Route 4</v>
      </c>
      <c r="C81" s="6">
        <f t="shared" si="4"/>
        <v>0</v>
      </c>
      <c r="D81" s="16">
        <f>'Rail Cost Summary'!$D$357*C81</f>
        <v>0</v>
      </c>
      <c r="E81" s="210"/>
      <c r="F81" s="16">
        <f>'Rail Cost Summary'!$D$774*C81</f>
        <v>0</v>
      </c>
      <c r="H81" s="6" t="str">
        <f t="shared" si="5"/>
        <v>Ok</v>
      </c>
    </row>
    <row r="82" spans="2:8" ht="9.75" outlineLevel="1">
      <c r="B82" s="22" t="str">
        <f>rail5</f>
        <v>Route 5</v>
      </c>
      <c r="C82" s="6">
        <f t="shared" si="4"/>
        <v>0</v>
      </c>
      <c r="D82" s="16">
        <f>'Rail Cost Summary'!$D$358*C82</f>
        <v>0</v>
      </c>
      <c r="E82" s="210"/>
      <c r="F82" s="16">
        <f>'Rail Cost Summary'!$D$775*C82</f>
        <v>0</v>
      </c>
      <c r="H82" s="6" t="str">
        <f t="shared" si="5"/>
        <v>Ok</v>
      </c>
    </row>
    <row r="83" spans="2:8" ht="9.75" outlineLevel="1">
      <c r="B83" s="22" t="str">
        <f>rail6</f>
        <v>Route 6</v>
      </c>
      <c r="C83" s="6">
        <f t="shared" si="4"/>
        <v>0</v>
      </c>
      <c r="D83" s="16">
        <f>'Rail Cost Summary'!$D$359*C83</f>
        <v>0</v>
      </c>
      <c r="E83" s="210"/>
      <c r="F83" s="16">
        <f>'Rail Cost Summary'!$D$776*C83</f>
        <v>0</v>
      </c>
      <c r="H83" s="6" t="str">
        <f t="shared" si="5"/>
        <v>Ok</v>
      </c>
    </row>
    <row r="84" spans="2:8" ht="9.75" outlineLevel="1">
      <c r="B84" s="22" t="str">
        <f>rail7</f>
        <v>Route 7</v>
      </c>
      <c r="C84" s="6">
        <f t="shared" si="4"/>
        <v>0</v>
      </c>
      <c r="D84" s="16">
        <f>'Rail Cost Summary'!$D$360*C84</f>
        <v>0</v>
      </c>
      <c r="E84" s="210"/>
      <c r="F84" s="16">
        <f>'Rail Cost Summary'!$D$777*C84</f>
        <v>0</v>
      </c>
      <c r="H84" s="6" t="str">
        <f t="shared" si="5"/>
        <v>Ok</v>
      </c>
    </row>
    <row r="85" spans="2:8" ht="9.75" outlineLevel="1">
      <c r="B85" s="22" t="str">
        <f>rail8</f>
        <v>Route 8</v>
      </c>
      <c r="C85" s="6">
        <f t="shared" si="4"/>
        <v>0</v>
      </c>
      <c r="D85" s="16">
        <f>'Rail Cost Summary'!$D$361*C85</f>
        <v>0</v>
      </c>
      <c r="E85" s="210"/>
      <c r="F85" s="16">
        <f>'Rail Cost Summary'!$D$778*C85</f>
        <v>0</v>
      </c>
      <c r="H85" s="6" t="str">
        <f t="shared" si="5"/>
        <v>Ok</v>
      </c>
    </row>
    <row r="86" spans="2:8" ht="9.75" outlineLevel="1">
      <c r="B86" s="22" t="str">
        <f>rail9</f>
        <v>Route 9</v>
      </c>
      <c r="C86" s="6">
        <f t="shared" si="4"/>
        <v>0</v>
      </c>
      <c r="D86" s="16">
        <f>'Rail Cost Summary'!$D$362*C86</f>
        <v>0</v>
      </c>
      <c r="E86" s="210"/>
      <c r="F86" s="16">
        <f>'Rail Cost Summary'!$D$779*C86</f>
        <v>0</v>
      </c>
      <c r="H86" s="6" t="str">
        <f t="shared" si="5"/>
        <v>Ok</v>
      </c>
    </row>
    <row r="87" spans="2:8" ht="9.75" outlineLevel="1">
      <c r="B87" s="22" t="str">
        <f>rail10</f>
        <v>Route 10</v>
      </c>
      <c r="C87" s="6">
        <f t="shared" si="4"/>
        <v>0</v>
      </c>
      <c r="D87" s="16">
        <f>'Rail Cost Summary'!$D$363*C87</f>
        <v>0</v>
      </c>
      <c r="E87" s="210"/>
      <c r="F87" s="16">
        <f>'Rail Cost Summary'!$D$780*C87</f>
        <v>0</v>
      </c>
      <c r="H87" s="6" t="str">
        <f t="shared" si="5"/>
        <v>Ok</v>
      </c>
    </row>
    <row r="88" spans="2:8" ht="9.75" outlineLevel="1">
      <c r="B88" s="22" t="str">
        <f>rail11</f>
        <v>Route 11</v>
      </c>
      <c r="C88" s="6">
        <f t="shared" si="4"/>
        <v>0</v>
      </c>
      <c r="D88" s="16">
        <f>'Rail Cost Summary'!$D$364*C88</f>
        <v>0</v>
      </c>
      <c r="E88" s="210"/>
      <c r="F88" s="16">
        <f>'Rail Cost Summary'!$D$781*C88</f>
        <v>0</v>
      </c>
      <c r="H88" s="6" t="str">
        <f t="shared" si="5"/>
        <v>Ok</v>
      </c>
    </row>
    <row r="89" spans="2:8" ht="9.75" outlineLevel="1">
      <c r="B89" s="22" t="str">
        <f>rail12</f>
        <v>Route 12</v>
      </c>
      <c r="C89" s="6">
        <f t="shared" si="4"/>
        <v>0</v>
      </c>
      <c r="D89" s="16">
        <f>'Rail Cost Summary'!$D$365*C89</f>
        <v>0</v>
      </c>
      <c r="E89" s="210"/>
      <c r="F89" s="16">
        <f>'Rail Cost Summary'!$D$782*C89</f>
        <v>0</v>
      </c>
      <c r="H89" s="6" t="str">
        <f t="shared" si="5"/>
        <v>Ok</v>
      </c>
    </row>
    <row r="90" spans="2:8" ht="9.75" outlineLevel="1">
      <c r="B90" s="22" t="str">
        <f>rail13</f>
        <v>Route 13</v>
      </c>
      <c r="C90" s="6">
        <f t="shared" si="4"/>
        <v>0</v>
      </c>
      <c r="D90" s="16">
        <f>'Rail Cost Summary'!$D$366*C90</f>
        <v>0</v>
      </c>
      <c r="E90" s="210"/>
      <c r="F90" s="16">
        <f>'Rail Cost Summary'!$D$783*C90</f>
        <v>0</v>
      </c>
      <c r="H90" s="6" t="str">
        <f t="shared" si="5"/>
        <v>Ok</v>
      </c>
    </row>
    <row r="91" spans="2:8" ht="9.75" outlineLevel="1">
      <c r="B91" s="22" t="str">
        <f>rail14</f>
        <v>Route 14</v>
      </c>
      <c r="C91" s="6">
        <f t="shared" si="4"/>
        <v>0</v>
      </c>
      <c r="D91" s="16">
        <f>'Rail Cost Summary'!$D$367*C91</f>
        <v>0</v>
      </c>
      <c r="E91" s="210"/>
      <c r="F91" s="16">
        <f>'Rail Cost Summary'!$D$784*C91</f>
        <v>0</v>
      </c>
      <c r="H91" s="6" t="str">
        <f t="shared" si="5"/>
        <v>Ok</v>
      </c>
    </row>
    <row r="92" spans="2:8" ht="9.75" outlineLevel="1">
      <c r="B92" s="22" t="str">
        <f>rail15</f>
        <v>Route 15</v>
      </c>
      <c r="C92" s="6">
        <f t="shared" si="4"/>
        <v>0</v>
      </c>
      <c r="D92" s="16">
        <f>'Rail Cost Summary'!$D$368*C92</f>
        <v>0</v>
      </c>
      <c r="E92" s="210"/>
      <c r="F92" s="16">
        <f>'Rail Cost Summary'!$D$785*C92</f>
        <v>0</v>
      </c>
      <c r="H92" s="6" t="str">
        <f t="shared" si="5"/>
        <v>Ok</v>
      </c>
    </row>
    <row r="93" spans="2:8" ht="9.75" outlineLevel="1">
      <c r="B93" s="22" t="str">
        <f>rail16</f>
        <v>Route 16</v>
      </c>
      <c r="C93" s="6">
        <f t="shared" si="4"/>
        <v>0</v>
      </c>
      <c r="D93" s="16">
        <f>'Rail Cost Summary'!$D$369*C93</f>
        <v>0</v>
      </c>
      <c r="E93" s="210"/>
      <c r="F93" s="16">
        <f>'Rail Cost Summary'!$D$786*C93</f>
        <v>0</v>
      </c>
      <c r="H93" s="6" t="str">
        <f t="shared" si="5"/>
        <v>Ok</v>
      </c>
    </row>
    <row r="94" spans="2:8" ht="9.75" outlineLevel="1">
      <c r="B94" s="22" t="str">
        <f>rail17</f>
        <v>Route 17</v>
      </c>
      <c r="C94" s="6">
        <f t="shared" si="4"/>
        <v>0</v>
      </c>
      <c r="D94" s="16">
        <f>'Rail Cost Summary'!$D$370*C94</f>
        <v>0</v>
      </c>
      <c r="E94" s="210"/>
      <c r="F94" s="16">
        <f>'Rail Cost Summary'!$D$787*C94</f>
        <v>0</v>
      </c>
      <c r="H94" s="6" t="str">
        <f t="shared" si="5"/>
        <v>Ok</v>
      </c>
    </row>
    <row r="95" spans="2:8" ht="9.75" outlineLevel="1">
      <c r="B95" s="22" t="str">
        <f>rail18</f>
        <v>Route 18</v>
      </c>
      <c r="C95" s="6">
        <f t="shared" si="4"/>
        <v>0</v>
      </c>
      <c r="D95" s="16">
        <f>'Rail Cost Summary'!$D$371*C95</f>
        <v>0</v>
      </c>
      <c r="E95" s="210"/>
      <c r="F95" s="16">
        <f>'Rail Cost Summary'!$D$788*C95</f>
        <v>0</v>
      </c>
      <c r="H95" s="6" t="str">
        <f t="shared" si="5"/>
        <v>Ok</v>
      </c>
    </row>
    <row r="96" spans="2:8" ht="9.75" outlineLevel="1">
      <c r="B96" s="22" t="str">
        <f>rail19</f>
        <v>Route 19</v>
      </c>
      <c r="C96" s="6">
        <f t="shared" si="4"/>
        <v>0</v>
      </c>
      <c r="D96" s="16">
        <f>'Rail Cost Summary'!$D$372*C96</f>
        <v>0</v>
      </c>
      <c r="E96" s="210"/>
      <c r="F96" s="16">
        <f>'Rail Cost Summary'!$D$789*C96</f>
        <v>0</v>
      </c>
      <c r="H96" s="6" t="str">
        <f t="shared" si="5"/>
        <v>Ok</v>
      </c>
    </row>
    <row r="97" spans="2:8" ht="9.75" outlineLevel="1">
      <c r="B97" s="22" t="str">
        <f>rail20</f>
        <v>Route 20</v>
      </c>
      <c r="C97" s="6">
        <f t="shared" si="4"/>
        <v>0</v>
      </c>
      <c r="D97" s="16">
        <f>'Rail Cost Summary'!$D$373*C97</f>
        <v>0</v>
      </c>
      <c r="E97" s="210"/>
      <c r="F97" s="16">
        <f>'Rail Cost Summary'!$D$790*C97</f>
        <v>0</v>
      </c>
      <c r="H97" s="6" t="str">
        <f t="shared" si="5"/>
        <v>Ok</v>
      </c>
    </row>
    <row r="98" spans="2:8" ht="9.75" outlineLevel="1">
      <c r="B98" s="1" t="s">
        <v>94</v>
      </c>
      <c r="D98" s="21">
        <f>SUM(D78:D97)</f>
        <v>0</v>
      </c>
      <c r="E98" s="21">
        <f>SUM(E78:E97)</f>
        <v>0</v>
      </c>
      <c r="F98" s="21">
        <f>SUM(F78:F97)</f>
        <v>0</v>
      </c>
      <c r="H98" s="6" t="str">
        <f t="shared" si="5"/>
        <v>Ok</v>
      </c>
    </row>
    <row r="99" spans="2:3" ht="9.75" outlineLevel="1">
      <c r="B99" s="13" t="s">
        <v>306</v>
      </c>
      <c r="C99" s="13"/>
    </row>
    <row r="100" spans="2:4" ht="9.75" outlineLevel="1">
      <c r="B100" s="1" t="s">
        <v>288</v>
      </c>
      <c r="D100" s="8">
        <f>VLOOKUP(B75,custdata,2,FALSE)</f>
        <v>0</v>
      </c>
    </row>
    <row r="101" spans="2:4" ht="9.75" outlineLevel="1">
      <c r="B101" s="1" t="s">
        <v>307</v>
      </c>
      <c r="D101" s="8">
        <f>E126*D128</f>
        <v>0</v>
      </c>
    </row>
    <row r="103" spans="1:3" ht="9.75">
      <c r="A103" s="198" t="str">
        <f>HYPERLINK(CONCATENATE(workbookname,"$A$7"),"Top")</f>
        <v>Top</v>
      </c>
      <c r="B103" s="2" t="str">
        <f>cust4</f>
        <v>Customer 4</v>
      </c>
      <c r="C103" s="2"/>
    </row>
    <row r="104" spans="2:3" ht="9.75">
      <c r="B104" s="171" t="str">
        <f>Contents!D111</f>
        <v>Suggested and contracted pricing associated to this customer</v>
      </c>
      <c r="C104" s="2"/>
    </row>
    <row r="105" ht="9.75" outlineLevel="1">
      <c r="B105" s="1" t="s">
        <v>305</v>
      </c>
    </row>
    <row r="106" spans="2:8" ht="9.75" outlineLevel="1">
      <c r="B106" s="22" t="str">
        <f>rail1</f>
        <v>Cloudbreak to Port Dumper</v>
      </c>
      <c r="C106" s="6">
        <f aca="true" t="shared" si="6" ref="C106:C125">IF(VLOOKUP($B106,railswitch,MATCH(B$103,railswitchhead,FALSE),FALSE)="On",1,0)</f>
        <v>0</v>
      </c>
      <c r="D106" s="16">
        <f>'Rail Cost Summary'!$D$354*C106</f>
        <v>0</v>
      </c>
      <c r="E106" s="210"/>
      <c r="F106" s="16">
        <f>'Rail Cost Summary'!$D$771*C106</f>
        <v>0</v>
      </c>
      <c r="H106" s="6" t="str">
        <f aca="true" t="shared" si="7" ref="H106:H126">IF(OR(E106=0,AND(E106&gt;=$D106,E106&lt;=$F106)),"Ok","Error")</f>
        <v>Ok</v>
      </c>
    </row>
    <row r="107" spans="2:8" ht="9.75" outlineLevel="1">
      <c r="B107" s="22" t="str">
        <f>rail2</f>
        <v>Route 2</v>
      </c>
      <c r="C107" s="6">
        <f t="shared" si="6"/>
        <v>0</v>
      </c>
      <c r="D107" s="16">
        <f>'Rail Cost Summary'!$D$355*C107</f>
        <v>0</v>
      </c>
      <c r="E107" s="210"/>
      <c r="F107" s="16">
        <f>'Rail Cost Summary'!$D$772*C107</f>
        <v>0</v>
      </c>
      <c r="H107" s="6" t="str">
        <f t="shared" si="7"/>
        <v>Ok</v>
      </c>
    </row>
    <row r="108" spans="2:8" ht="9.75" outlineLevel="1">
      <c r="B108" s="22" t="str">
        <f>rail3</f>
        <v>Route 3</v>
      </c>
      <c r="C108" s="6">
        <f t="shared" si="6"/>
        <v>0</v>
      </c>
      <c r="D108" s="16">
        <f>'Rail Cost Summary'!$D$356*C108</f>
        <v>0</v>
      </c>
      <c r="E108" s="210"/>
      <c r="F108" s="16">
        <f>'Rail Cost Summary'!$D$773*C108</f>
        <v>0</v>
      </c>
      <c r="H108" s="6" t="str">
        <f t="shared" si="7"/>
        <v>Ok</v>
      </c>
    </row>
    <row r="109" spans="2:8" ht="9.75" outlineLevel="1">
      <c r="B109" s="22" t="str">
        <f>rail4</f>
        <v>Route 4</v>
      </c>
      <c r="C109" s="6">
        <f t="shared" si="6"/>
        <v>0</v>
      </c>
      <c r="D109" s="16">
        <f>'Rail Cost Summary'!$D$357*C109</f>
        <v>0</v>
      </c>
      <c r="E109" s="210"/>
      <c r="F109" s="16">
        <f>'Rail Cost Summary'!$D$774*C109</f>
        <v>0</v>
      </c>
      <c r="H109" s="6" t="str">
        <f t="shared" si="7"/>
        <v>Ok</v>
      </c>
    </row>
    <row r="110" spans="2:8" ht="9.75" outlineLevel="1">
      <c r="B110" s="22" t="str">
        <f>rail5</f>
        <v>Route 5</v>
      </c>
      <c r="C110" s="6">
        <f t="shared" si="6"/>
        <v>0</v>
      </c>
      <c r="D110" s="16">
        <f>'Rail Cost Summary'!$D$358*C110</f>
        <v>0</v>
      </c>
      <c r="E110" s="210"/>
      <c r="F110" s="16">
        <f>'Rail Cost Summary'!$D$775*C110</f>
        <v>0</v>
      </c>
      <c r="H110" s="6" t="str">
        <f t="shared" si="7"/>
        <v>Ok</v>
      </c>
    </row>
    <row r="111" spans="2:8" ht="9.75" outlineLevel="1">
      <c r="B111" s="22" t="str">
        <f>rail6</f>
        <v>Route 6</v>
      </c>
      <c r="C111" s="6">
        <f t="shared" si="6"/>
        <v>0</v>
      </c>
      <c r="D111" s="16">
        <f>'Rail Cost Summary'!$D$359*C111</f>
        <v>0</v>
      </c>
      <c r="E111" s="210"/>
      <c r="F111" s="16">
        <f>'Rail Cost Summary'!$D$776*C111</f>
        <v>0</v>
      </c>
      <c r="H111" s="6" t="str">
        <f t="shared" si="7"/>
        <v>Ok</v>
      </c>
    </row>
    <row r="112" spans="2:8" ht="9.75" outlineLevel="1">
      <c r="B112" s="22" t="str">
        <f>rail7</f>
        <v>Route 7</v>
      </c>
      <c r="C112" s="6">
        <f t="shared" si="6"/>
        <v>0</v>
      </c>
      <c r="D112" s="16">
        <f>'Rail Cost Summary'!$D$360*C112</f>
        <v>0</v>
      </c>
      <c r="E112" s="210"/>
      <c r="F112" s="16">
        <f>'Rail Cost Summary'!$D$777*C112</f>
        <v>0</v>
      </c>
      <c r="H112" s="6" t="str">
        <f t="shared" si="7"/>
        <v>Ok</v>
      </c>
    </row>
    <row r="113" spans="2:8" ht="9.75" outlineLevel="1">
      <c r="B113" s="22" t="str">
        <f>rail8</f>
        <v>Route 8</v>
      </c>
      <c r="C113" s="6">
        <f t="shared" si="6"/>
        <v>0</v>
      </c>
      <c r="D113" s="16">
        <f>'Rail Cost Summary'!$D$361*C113</f>
        <v>0</v>
      </c>
      <c r="E113" s="210"/>
      <c r="F113" s="16">
        <f>'Rail Cost Summary'!$D$778*C113</f>
        <v>0</v>
      </c>
      <c r="H113" s="6" t="str">
        <f t="shared" si="7"/>
        <v>Ok</v>
      </c>
    </row>
    <row r="114" spans="2:8" ht="9.75" outlineLevel="1">
      <c r="B114" s="22" t="str">
        <f>rail9</f>
        <v>Route 9</v>
      </c>
      <c r="C114" s="6">
        <f t="shared" si="6"/>
        <v>0</v>
      </c>
      <c r="D114" s="16">
        <f>'Rail Cost Summary'!$D$362*C114</f>
        <v>0</v>
      </c>
      <c r="E114" s="210"/>
      <c r="F114" s="16">
        <f>'Rail Cost Summary'!$D$779*C114</f>
        <v>0</v>
      </c>
      <c r="H114" s="6" t="str">
        <f t="shared" si="7"/>
        <v>Ok</v>
      </c>
    </row>
    <row r="115" spans="2:8" ht="9.75" outlineLevel="1">
      <c r="B115" s="22" t="str">
        <f>rail10</f>
        <v>Route 10</v>
      </c>
      <c r="C115" s="6">
        <f t="shared" si="6"/>
        <v>0</v>
      </c>
      <c r="D115" s="16">
        <f>'Rail Cost Summary'!$D$363*C115</f>
        <v>0</v>
      </c>
      <c r="E115" s="210"/>
      <c r="F115" s="16">
        <f>'Rail Cost Summary'!$D$780*C115</f>
        <v>0</v>
      </c>
      <c r="H115" s="6" t="str">
        <f t="shared" si="7"/>
        <v>Ok</v>
      </c>
    </row>
    <row r="116" spans="2:8" ht="9.75" outlineLevel="1">
      <c r="B116" s="22" t="str">
        <f>rail11</f>
        <v>Route 11</v>
      </c>
      <c r="C116" s="6">
        <f t="shared" si="6"/>
        <v>0</v>
      </c>
      <c r="D116" s="16">
        <f>'Rail Cost Summary'!$D$364*C116</f>
        <v>0</v>
      </c>
      <c r="E116" s="210"/>
      <c r="F116" s="16">
        <f>'Rail Cost Summary'!$D$781*C116</f>
        <v>0</v>
      </c>
      <c r="H116" s="6" t="str">
        <f t="shared" si="7"/>
        <v>Ok</v>
      </c>
    </row>
    <row r="117" spans="2:8" ht="9.75" outlineLevel="1">
      <c r="B117" s="22" t="str">
        <f>rail12</f>
        <v>Route 12</v>
      </c>
      <c r="C117" s="6">
        <f t="shared" si="6"/>
        <v>0</v>
      </c>
      <c r="D117" s="16">
        <f>'Rail Cost Summary'!$D$365*C117</f>
        <v>0</v>
      </c>
      <c r="E117" s="210"/>
      <c r="F117" s="16">
        <f>'Rail Cost Summary'!$D$782*C117</f>
        <v>0</v>
      </c>
      <c r="H117" s="6" t="str">
        <f t="shared" si="7"/>
        <v>Ok</v>
      </c>
    </row>
    <row r="118" spans="2:8" ht="9.75" outlineLevel="1">
      <c r="B118" s="22" t="str">
        <f>rail13</f>
        <v>Route 13</v>
      </c>
      <c r="C118" s="6">
        <f t="shared" si="6"/>
        <v>0</v>
      </c>
      <c r="D118" s="16">
        <f>'Rail Cost Summary'!$D$366*C118</f>
        <v>0</v>
      </c>
      <c r="E118" s="210"/>
      <c r="F118" s="16">
        <f>'Rail Cost Summary'!$D$783*C118</f>
        <v>0</v>
      </c>
      <c r="H118" s="6" t="str">
        <f t="shared" si="7"/>
        <v>Ok</v>
      </c>
    </row>
    <row r="119" spans="2:8" ht="9.75" outlineLevel="1">
      <c r="B119" s="22" t="str">
        <f>rail14</f>
        <v>Route 14</v>
      </c>
      <c r="C119" s="6">
        <f t="shared" si="6"/>
        <v>0</v>
      </c>
      <c r="D119" s="16">
        <f>'Rail Cost Summary'!$D$367*C119</f>
        <v>0</v>
      </c>
      <c r="E119" s="210"/>
      <c r="F119" s="16">
        <f>'Rail Cost Summary'!$D$784*C119</f>
        <v>0</v>
      </c>
      <c r="H119" s="6" t="str">
        <f t="shared" si="7"/>
        <v>Ok</v>
      </c>
    </row>
    <row r="120" spans="2:8" ht="9.75" outlineLevel="1">
      <c r="B120" s="22" t="str">
        <f>rail15</f>
        <v>Route 15</v>
      </c>
      <c r="C120" s="6">
        <f t="shared" si="6"/>
        <v>0</v>
      </c>
      <c r="D120" s="16">
        <f>'Rail Cost Summary'!$D$368*C120</f>
        <v>0</v>
      </c>
      <c r="E120" s="210"/>
      <c r="F120" s="16">
        <f>'Rail Cost Summary'!$D$785*C120</f>
        <v>0</v>
      </c>
      <c r="H120" s="6" t="str">
        <f t="shared" si="7"/>
        <v>Ok</v>
      </c>
    </row>
    <row r="121" spans="2:8" ht="9.75" outlineLevel="1">
      <c r="B121" s="22" t="str">
        <f>rail16</f>
        <v>Route 16</v>
      </c>
      <c r="C121" s="6">
        <f t="shared" si="6"/>
        <v>0</v>
      </c>
      <c r="D121" s="16">
        <f>'Rail Cost Summary'!$D$369*C121</f>
        <v>0</v>
      </c>
      <c r="E121" s="210"/>
      <c r="F121" s="16">
        <f>'Rail Cost Summary'!$D$786*C121</f>
        <v>0</v>
      </c>
      <c r="H121" s="6" t="str">
        <f t="shared" si="7"/>
        <v>Ok</v>
      </c>
    </row>
    <row r="122" spans="2:8" ht="9.75" outlineLevel="1">
      <c r="B122" s="22" t="str">
        <f>rail17</f>
        <v>Route 17</v>
      </c>
      <c r="C122" s="6">
        <f t="shared" si="6"/>
        <v>0</v>
      </c>
      <c r="D122" s="16">
        <f>'Rail Cost Summary'!$D$370*C122</f>
        <v>0</v>
      </c>
      <c r="E122" s="210"/>
      <c r="F122" s="16">
        <f>'Rail Cost Summary'!$D$787*C122</f>
        <v>0</v>
      </c>
      <c r="H122" s="6" t="str">
        <f t="shared" si="7"/>
        <v>Ok</v>
      </c>
    </row>
    <row r="123" spans="2:8" ht="9.75" outlineLevel="1">
      <c r="B123" s="22" t="str">
        <f>rail18</f>
        <v>Route 18</v>
      </c>
      <c r="C123" s="6">
        <f t="shared" si="6"/>
        <v>0</v>
      </c>
      <c r="D123" s="16">
        <f>'Rail Cost Summary'!$D$371*C123</f>
        <v>0</v>
      </c>
      <c r="E123" s="210"/>
      <c r="F123" s="16">
        <f>'Rail Cost Summary'!$D$788*C123</f>
        <v>0</v>
      </c>
      <c r="H123" s="6" t="str">
        <f t="shared" si="7"/>
        <v>Ok</v>
      </c>
    </row>
    <row r="124" spans="2:8" ht="9.75" outlineLevel="1">
      <c r="B124" s="22" t="str">
        <f>rail19</f>
        <v>Route 19</v>
      </c>
      <c r="C124" s="6">
        <f t="shared" si="6"/>
        <v>0</v>
      </c>
      <c r="D124" s="16">
        <f>'Rail Cost Summary'!$D$372*C124</f>
        <v>0</v>
      </c>
      <c r="E124" s="210"/>
      <c r="F124" s="16">
        <f>'Rail Cost Summary'!$D$789*C124</f>
        <v>0</v>
      </c>
      <c r="H124" s="6" t="str">
        <f t="shared" si="7"/>
        <v>Ok</v>
      </c>
    </row>
    <row r="125" spans="2:8" ht="9.75" outlineLevel="1">
      <c r="B125" s="22" t="str">
        <f>rail20</f>
        <v>Route 20</v>
      </c>
      <c r="C125" s="6">
        <f t="shared" si="6"/>
        <v>0</v>
      </c>
      <c r="D125" s="16">
        <f>'Rail Cost Summary'!$D$373*C125</f>
        <v>0</v>
      </c>
      <c r="E125" s="210"/>
      <c r="F125" s="16">
        <f>'Rail Cost Summary'!$D$790*C125</f>
        <v>0</v>
      </c>
      <c r="H125" s="6" t="str">
        <f t="shared" si="7"/>
        <v>Ok</v>
      </c>
    </row>
    <row r="126" spans="2:8" ht="9.75" outlineLevel="1">
      <c r="B126" s="1" t="s">
        <v>94</v>
      </c>
      <c r="D126" s="21">
        <f>SUM(D106:D125)</f>
        <v>0</v>
      </c>
      <c r="E126" s="21">
        <f>SUM(E106:E125)</f>
        <v>0</v>
      </c>
      <c r="F126" s="21">
        <f>SUM(F106:F125)</f>
        <v>0</v>
      </c>
      <c r="H126" s="6" t="str">
        <f t="shared" si="7"/>
        <v>Ok</v>
      </c>
    </row>
    <row r="127" spans="2:3" ht="9.75" outlineLevel="1">
      <c r="B127" s="13" t="s">
        <v>306</v>
      </c>
      <c r="C127" s="13"/>
    </row>
    <row r="128" spans="2:4" ht="9.75" outlineLevel="1">
      <c r="B128" s="1" t="s">
        <v>288</v>
      </c>
      <c r="D128" s="8">
        <f>VLOOKUP(B103,custdata,2,FALSE)</f>
        <v>0</v>
      </c>
    </row>
    <row r="129" spans="2:4" ht="9.75" outlineLevel="1">
      <c r="B129" s="1" t="s">
        <v>307</v>
      </c>
      <c r="D129" s="8">
        <f>E154*D156</f>
        <v>0</v>
      </c>
    </row>
    <row r="131" spans="1:3" ht="9.75">
      <c r="A131" s="198" t="str">
        <f>HYPERLINK(CONCATENATE(workbookname,"$A$7"),"Top")</f>
        <v>Top</v>
      </c>
      <c r="B131" s="2" t="str">
        <f>cust5</f>
        <v>Customer 5</v>
      </c>
      <c r="C131" s="2"/>
    </row>
    <row r="132" spans="2:3" ht="9.75">
      <c r="B132" s="171" t="str">
        <f>Contents!D112</f>
        <v>Suggested and contracted pricing associated to this customer</v>
      </c>
      <c r="C132" s="2"/>
    </row>
    <row r="133" ht="9.75" outlineLevel="1">
      <c r="B133" s="1" t="s">
        <v>305</v>
      </c>
    </row>
    <row r="134" spans="2:8" ht="9.75" outlineLevel="1">
      <c r="B134" s="22" t="str">
        <f>rail1</f>
        <v>Cloudbreak to Port Dumper</v>
      </c>
      <c r="C134" s="6">
        <f aca="true" t="shared" si="8" ref="C134:C153">IF(VLOOKUP($B134,railswitch,MATCH(B$131,railswitchhead,FALSE),FALSE)="On",1,0)</f>
        <v>0</v>
      </c>
      <c r="D134" s="16">
        <f>'Rail Cost Summary'!$D$354*C134</f>
        <v>0</v>
      </c>
      <c r="E134" s="210"/>
      <c r="F134" s="16">
        <f>'Rail Cost Summary'!$D$771*C134</f>
        <v>0</v>
      </c>
      <c r="H134" s="6" t="str">
        <f aca="true" t="shared" si="9" ref="H134:H154">IF(OR(E134=0,AND(E134&gt;=$D134,E134&lt;=$F134)),"Ok","Error")</f>
        <v>Ok</v>
      </c>
    </row>
    <row r="135" spans="2:8" ht="9.75" outlineLevel="1">
      <c r="B135" s="22" t="str">
        <f>rail2</f>
        <v>Route 2</v>
      </c>
      <c r="C135" s="6">
        <f t="shared" si="8"/>
        <v>0</v>
      </c>
      <c r="D135" s="16">
        <f>'Rail Cost Summary'!$D$355*C135</f>
        <v>0</v>
      </c>
      <c r="E135" s="210"/>
      <c r="F135" s="16">
        <f>'Rail Cost Summary'!$D$772*C135</f>
        <v>0</v>
      </c>
      <c r="H135" s="6" t="str">
        <f t="shared" si="9"/>
        <v>Ok</v>
      </c>
    </row>
    <row r="136" spans="2:8" ht="9.75" outlineLevel="1">
      <c r="B136" s="22" t="str">
        <f>rail3</f>
        <v>Route 3</v>
      </c>
      <c r="C136" s="6">
        <f t="shared" si="8"/>
        <v>0</v>
      </c>
      <c r="D136" s="16">
        <f>'Rail Cost Summary'!$D$356*C136</f>
        <v>0</v>
      </c>
      <c r="E136" s="210"/>
      <c r="F136" s="16">
        <f>'Rail Cost Summary'!$D$773*C136</f>
        <v>0</v>
      </c>
      <c r="H136" s="6" t="str">
        <f t="shared" si="9"/>
        <v>Ok</v>
      </c>
    </row>
    <row r="137" spans="2:8" ht="9.75" outlineLevel="1">
      <c r="B137" s="22" t="str">
        <f>rail4</f>
        <v>Route 4</v>
      </c>
      <c r="C137" s="6">
        <f t="shared" si="8"/>
        <v>0</v>
      </c>
      <c r="D137" s="16">
        <f>'Rail Cost Summary'!$D$357*C137</f>
        <v>0</v>
      </c>
      <c r="E137" s="210"/>
      <c r="F137" s="16">
        <f>'Rail Cost Summary'!$D$774*C137</f>
        <v>0</v>
      </c>
      <c r="H137" s="6" t="str">
        <f t="shared" si="9"/>
        <v>Ok</v>
      </c>
    </row>
    <row r="138" spans="2:8" ht="9.75" outlineLevel="1">
      <c r="B138" s="22" t="str">
        <f>rail5</f>
        <v>Route 5</v>
      </c>
      <c r="C138" s="6">
        <f t="shared" si="8"/>
        <v>0</v>
      </c>
      <c r="D138" s="16">
        <f>'Rail Cost Summary'!$D$358*C138</f>
        <v>0</v>
      </c>
      <c r="E138" s="210"/>
      <c r="F138" s="16">
        <f>'Rail Cost Summary'!$D$775*C138</f>
        <v>0</v>
      </c>
      <c r="H138" s="6" t="str">
        <f t="shared" si="9"/>
        <v>Ok</v>
      </c>
    </row>
    <row r="139" spans="2:8" ht="9.75" outlineLevel="1">
      <c r="B139" s="22" t="str">
        <f>rail6</f>
        <v>Route 6</v>
      </c>
      <c r="C139" s="6">
        <f t="shared" si="8"/>
        <v>0</v>
      </c>
      <c r="D139" s="16">
        <f>'Rail Cost Summary'!$D$359*C139</f>
        <v>0</v>
      </c>
      <c r="E139" s="210"/>
      <c r="F139" s="16">
        <f>'Rail Cost Summary'!$D$776*C139</f>
        <v>0</v>
      </c>
      <c r="H139" s="6" t="str">
        <f t="shared" si="9"/>
        <v>Ok</v>
      </c>
    </row>
    <row r="140" spans="2:8" ht="9.75" outlineLevel="1">
      <c r="B140" s="22" t="str">
        <f>rail7</f>
        <v>Route 7</v>
      </c>
      <c r="C140" s="6">
        <f t="shared" si="8"/>
        <v>0</v>
      </c>
      <c r="D140" s="16">
        <f>'Rail Cost Summary'!$D$360*C140</f>
        <v>0</v>
      </c>
      <c r="E140" s="210"/>
      <c r="F140" s="16">
        <f>'Rail Cost Summary'!$D$777*C140</f>
        <v>0</v>
      </c>
      <c r="H140" s="6" t="str">
        <f t="shared" si="9"/>
        <v>Ok</v>
      </c>
    </row>
    <row r="141" spans="2:8" ht="9.75" outlineLevel="1">
      <c r="B141" s="22" t="str">
        <f>rail8</f>
        <v>Route 8</v>
      </c>
      <c r="C141" s="6">
        <f t="shared" si="8"/>
        <v>0</v>
      </c>
      <c r="D141" s="16">
        <f>'Rail Cost Summary'!$D$361*C141</f>
        <v>0</v>
      </c>
      <c r="E141" s="210"/>
      <c r="F141" s="16">
        <f>'Rail Cost Summary'!$D$778*C141</f>
        <v>0</v>
      </c>
      <c r="H141" s="6" t="str">
        <f t="shared" si="9"/>
        <v>Ok</v>
      </c>
    </row>
    <row r="142" spans="2:8" ht="9.75" outlineLevel="1">
      <c r="B142" s="22" t="str">
        <f>rail9</f>
        <v>Route 9</v>
      </c>
      <c r="C142" s="6">
        <f t="shared" si="8"/>
        <v>0</v>
      </c>
      <c r="D142" s="16">
        <f>'Rail Cost Summary'!$D$362*C142</f>
        <v>0</v>
      </c>
      <c r="E142" s="210"/>
      <c r="F142" s="16">
        <f>'Rail Cost Summary'!$D$779*C142</f>
        <v>0</v>
      </c>
      <c r="H142" s="6" t="str">
        <f t="shared" si="9"/>
        <v>Ok</v>
      </c>
    </row>
    <row r="143" spans="2:8" ht="9.75" outlineLevel="1">
      <c r="B143" s="22" t="str">
        <f>rail10</f>
        <v>Route 10</v>
      </c>
      <c r="C143" s="6">
        <f t="shared" si="8"/>
        <v>0</v>
      </c>
      <c r="D143" s="16">
        <f>'Rail Cost Summary'!$D$363*C143</f>
        <v>0</v>
      </c>
      <c r="E143" s="210"/>
      <c r="F143" s="16">
        <f>'Rail Cost Summary'!$D$780*C143</f>
        <v>0</v>
      </c>
      <c r="H143" s="6" t="str">
        <f t="shared" si="9"/>
        <v>Ok</v>
      </c>
    </row>
    <row r="144" spans="2:8" ht="9.75" outlineLevel="1">
      <c r="B144" s="22" t="str">
        <f>rail11</f>
        <v>Route 11</v>
      </c>
      <c r="C144" s="6">
        <f t="shared" si="8"/>
        <v>0</v>
      </c>
      <c r="D144" s="16">
        <f>'Rail Cost Summary'!$D$364*C144</f>
        <v>0</v>
      </c>
      <c r="E144" s="210"/>
      <c r="F144" s="16">
        <f>'Rail Cost Summary'!$D$781*C144</f>
        <v>0</v>
      </c>
      <c r="H144" s="6" t="str">
        <f t="shared" si="9"/>
        <v>Ok</v>
      </c>
    </row>
    <row r="145" spans="2:8" ht="9.75" outlineLevel="1">
      <c r="B145" s="22" t="str">
        <f>rail12</f>
        <v>Route 12</v>
      </c>
      <c r="C145" s="6">
        <f t="shared" si="8"/>
        <v>0</v>
      </c>
      <c r="D145" s="16">
        <f>'Rail Cost Summary'!$D$365*C145</f>
        <v>0</v>
      </c>
      <c r="E145" s="210"/>
      <c r="F145" s="16">
        <f>'Rail Cost Summary'!$D$782*C145</f>
        <v>0</v>
      </c>
      <c r="H145" s="6" t="str">
        <f t="shared" si="9"/>
        <v>Ok</v>
      </c>
    </row>
    <row r="146" spans="2:8" ht="9.75" outlineLevel="1">
      <c r="B146" s="22" t="str">
        <f>rail13</f>
        <v>Route 13</v>
      </c>
      <c r="C146" s="6">
        <f t="shared" si="8"/>
        <v>0</v>
      </c>
      <c r="D146" s="16">
        <f>'Rail Cost Summary'!$D$366*C146</f>
        <v>0</v>
      </c>
      <c r="E146" s="210"/>
      <c r="F146" s="16">
        <f>'Rail Cost Summary'!$D$783*C146</f>
        <v>0</v>
      </c>
      <c r="H146" s="6" t="str">
        <f t="shared" si="9"/>
        <v>Ok</v>
      </c>
    </row>
    <row r="147" spans="2:8" ht="9.75" outlineLevel="1">
      <c r="B147" s="22" t="str">
        <f>rail14</f>
        <v>Route 14</v>
      </c>
      <c r="C147" s="6">
        <f t="shared" si="8"/>
        <v>0</v>
      </c>
      <c r="D147" s="16">
        <f>'Rail Cost Summary'!$D$367*C147</f>
        <v>0</v>
      </c>
      <c r="E147" s="210"/>
      <c r="F147" s="16">
        <f>'Rail Cost Summary'!$D$784*C147</f>
        <v>0</v>
      </c>
      <c r="H147" s="6" t="str">
        <f t="shared" si="9"/>
        <v>Ok</v>
      </c>
    </row>
    <row r="148" spans="2:8" ht="9.75" outlineLevel="1">
      <c r="B148" s="22" t="str">
        <f>rail15</f>
        <v>Route 15</v>
      </c>
      <c r="C148" s="6">
        <f t="shared" si="8"/>
        <v>0</v>
      </c>
      <c r="D148" s="16">
        <f>'Rail Cost Summary'!$D$368*C148</f>
        <v>0</v>
      </c>
      <c r="E148" s="210"/>
      <c r="F148" s="16">
        <f>'Rail Cost Summary'!$D$785*C148</f>
        <v>0</v>
      </c>
      <c r="H148" s="6" t="str">
        <f t="shared" si="9"/>
        <v>Ok</v>
      </c>
    </row>
    <row r="149" spans="2:8" ht="9.75" outlineLevel="1">
      <c r="B149" s="22" t="str">
        <f>rail16</f>
        <v>Route 16</v>
      </c>
      <c r="C149" s="6">
        <f t="shared" si="8"/>
        <v>0</v>
      </c>
      <c r="D149" s="16">
        <f>'Rail Cost Summary'!$D$369*C149</f>
        <v>0</v>
      </c>
      <c r="E149" s="210"/>
      <c r="F149" s="16">
        <f>'Rail Cost Summary'!$D$786*C149</f>
        <v>0</v>
      </c>
      <c r="H149" s="6" t="str">
        <f t="shared" si="9"/>
        <v>Ok</v>
      </c>
    </row>
    <row r="150" spans="2:8" ht="9.75" outlineLevel="1">
      <c r="B150" s="22" t="str">
        <f>rail17</f>
        <v>Route 17</v>
      </c>
      <c r="C150" s="6">
        <f t="shared" si="8"/>
        <v>0</v>
      </c>
      <c r="D150" s="16">
        <f>'Rail Cost Summary'!$D$370*C150</f>
        <v>0</v>
      </c>
      <c r="E150" s="210"/>
      <c r="F150" s="16">
        <f>'Rail Cost Summary'!$D$787*C150</f>
        <v>0</v>
      </c>
      <c r="H150" s="6" t="str">
        <f t="shared" si="9"/>
        <v>Ok</v>
      </c>
    </row>
    <row r="151" spans="2:8" ht="9.75" outlineLevel="1">
      <c r="B151" s="22" t="str">
        <f>rail18</f>
        <v>Route 18</v>
      </c>
      <c r="C151" s="6">
        <f t="shared" si="8"/>
        <v>0</v>
      </c>
      <c r="D151" s="16">
        <f>'Rail Cost Summary'!$D$371*C151</f>
        <v>0</v>
      </c>
      <c r="E151" s="210"/>
      <c r="F151" s="16">
        <f>'Rail Cost Summary'!$D$788*C151</f>
        <v>0</v>
      </c>
      <c r="H151" s="6" t="str">
        <f t="shared" si="9"/>
        <v>Ok</v>
      </c>
    </row>
    <row r="152" spans="2:8" ht="9.75" outlineLevel="1">
      <c r="B152" s="22" t="str">
        <f>rail19</f>
        <v>Route 19</v>
      </c>
      <c r="C152" s="6">
        <f t="shared" si="8"/>
        <v>0</v>
      </c>
      <c r="D152" s="16">
        <f>'Rail Cost Summary'!$D$372*C152</f>
        <v>0</v>
      </c>
      <c r="E152" s="210"/>
      <c r="F152" s="16">
        <f>'Rail Cost Summary'!$D$789*C152</f>
        <v>0</v>
      </c>
      <c r="H152" s="6" t="str">
        <f t="shared" si="9"/>
        <v>Ok</v>
      </c>
    </row>
    <row r="153" spans="2:8" ht="9.75" outlineLevel="1">
      <c r="B153" s="22" t="str">
        <f>rail20</f>
        <v>Route 20</v>
      </c>
      <c r="C153" s="6">
        <f t="shared" si="8"/>
        <v>0</v>
      </c>
      <c r="D153" s="16">
        <f>'Rail Cost Summary'!$D$373*C153</f>
        <v>0</v>
      </c>
      <c r="E153" s="210"/>
      <c r="F153" s="16">
        <f>'Rail Cost Summary'!$D$790*C153</f>
        <v>0</v>
      </c>
      <c r="H153" s="6" t="str">
        <f t="shared" si="9"/>
        <v>Ok</v>
      </c>
    </row>
    <row r="154" spans="2:8" ht="9.75" outlineLevel="1">
      <c r="B154" s="1" t="s">
        <v>94</v>
      </c>
      <c r="D154" s="21">
        <f>SUM(D134:D153)</f>
        <v>0</v>
      </c>
      <c r="E154" s="21">
        <f>SUM(E134:E153)</f>
        <v>0</v>
      </c>
      <c r="F154" s="21">
        <f>SUM(F134:F153)</f>
        <v>0</v>
      </c>
      <c r="H154" s="6" t="str">
        <f t="shared" si="9"/>
        <v>Ok</v>
      </c>
    </row>
    <row r="155" spans="2:3" ht="9.75" outlineLevel="1">
      <c r="B155" s="13" t="s">
        <v>306</v>
      </c>
      <c r="C155" s="13"/>
    </row>
    <row r="156" spans="2:4" ht="9.75" outlineLevel="1">
      <c r="B156" s="1" t="s">
        <v>288</v>
      </c>
      <c r="D156" s="8">
        <f>VLOOKUP(B131,custdata,2,FALSE)</f>
        <v>0</v>
      </c>
    </row>
    <row r="157" spans="2:4" ht="9.75" outlineLevel="1">
      <c r="B157" s="1" t="s">
        <v>307</v>
      </c>
      <c r="D157" s="8">
        <f>E182*D184</f>
        <v>0</v>
      </c>
    </row>
    <row r="159" spans="1:3" ht="9.75">
      <c r="A159" s="198" t="str">
        <f>HYPERLINK(CONCATENATE(workbookname,"$A$7"),"Top")</f>
        <v>Top</v>
      </c>
      <c r="B159" s="2" t="str">
        <f>cust6</f>
        <v>Customer 6</v>
      </c>
      <c r="C159" s="2"/>
    </row>
    <row r="160" spans="2:3" ht="9.75">
      <c r="B160" s="171" t="str">
        <f>Contents!D113</f>
        <v>Suggested and contracted pricing associated to this customer</v>
      </c>
      <c r="C160" s="2"/>
    </row>
    <row r="161" ht="9.75" outlineLevel="1">
      <c r="B161" s="1" t="s">
        <v>305</v>
      </c>
    </row>
    <row r="162" spans="2:8" ht="9.75" outlineLevel="1">
      <c r="B162" s="22" t="str">
        <f>rail1</f>
        <v>Cloudbreak to Port Dumper</v>
      </c>
      <c r="C162" s="6">
        <f aca="true" t="shared" si="10" ref="C162:C181">IF(VLOOKUP($B162,railswitch,MATCH(B$159,railswitchhead,FALSE),FALSE)="On",1,0)</f>
        <v>0</v>
      </c>
      <c r="D162" s="16">
        <f>'Rail Cost Summary'!$D$354*C162</f>
        <v>0</v>
      </c>
      <c r="E162" s="210"/>
      <c r="F162" s="16">
        <f>'Rail Cost Summary'!$D$771*C162</f>
        <v>0</v>
      </c>
      <c r="H162" s="6" t="str">
        <f aca="true" t="shared" si="11" ref="H162:H182">IF(OR(E162=0,AND(E162&gt;=$D162,E162&lt;=$F162)),"Ok","Error")</f>
        <v>Ok</v>
      </c>
    </row>
    <row r="163" spans="2:8" ht="9.75" outlineLevel="1">
      <c r="B163" s="22" t="str">
        <f>rail2</f>
        <v>Route 2</v>
      </c>
      <c r="C163" s="6">
        <f t="shared" si="10"/>
        <v>0</v>
      </c>
      <c r="D163" s="16">
        <f>'Rail Cost Summary'!$D$355*C163</f>
        <v>0</v>
      </c>
      <c r="E163" s="210"/>
      <c r="F163" s="16">
        <f>'Rail Cost Summary'!$D$772*C163</f>
        <v>0</v>
      </c>
      <c r="H163" s="6" t="str">
        <f t="shared" si="11"/>
        <v>Ok</v>
      </c>
    </row>
    <row r="164" spans="2:8" ht="9.75" outlineLevel="1">
      <c r="B164" s="22" t="str">
        <f>rail3</f>
        <v>Route 3</v>
      </c>
      <c r="C164" s="6">
        <f t="shared" si="10"/>
        <v>0</v>
      </c>
      <c r="D164" s="16">
        <f>'Rail Cost Summary'!$D$356*C164</f>
        <v>0</v>
      </c>
      <c r="E164" s="210"/>
      <c r="F164" s="16">
        <f>'Rail Cost Summary'!$D$773*C164</f>
        <v>0</v>
      </c>
      <c r="H164" s="6" t="str">
        <f t="shared" si="11"/>
        <v>Ok</v>
      </c>
    </row>
    <row r="165" spans="2:8" ht="9.75" outlineLevel="1">
      <c r="B165" s="22" t="str">
        <f>rail4</f>
        <v>Route 4</v>
      </c>
      <c r="C165" s="6">
        <f t="shared" si="10"/>
        <v>0</v>
      </c>
      <c r="D165" s="16">
        <f>'Rail Cost Summary'!$D$357*C165</f>
        <v>0</v>
      </c>
      <c r="E165" s="210"/>
      <c r="F165" s="16">
        <f>'Rail Cost Summary'!$D$774*C165</f>
        <v>0</v>
      </c>
      <c r="H165" s="6" t="str">
        <f t="shared" si="11"/>
        <v>Ok</v>
      </c>
    </row>
    <row r="166" spans="2:8" ht="9.75" outlineLevel="1">
      <c r="B166" s="22" t="str">
        <f>rail5</f>
        <v>Route 5</v>
      </c>
      <c r="C166" s="6">
        <f t="shared" si="10"/>
        <v>0</v>
      </c>
      <c r="D166" s="16">
        <f>'Rail Cost Summary'!$D$358*C166</f>
        <v>0</v>
      </c>
      <c r="E166" s="210"/>
      <c r="F166" s="16">
        <f>'Rail Cost Summary'!$D$775*C166</f>
        <v>0</v>
      </c>
      <c r="H166" s="6" t="str">
        <f t="shared" si="11"/>
        <v>Ok</v>
      </c>
    </row>
    <row r="167" spans="2:8" ht="9.75" outlineLevel="1">
      <c r="B167" s="22" t="str">
        <f>rail6</f>
        <v>Route 6</v>
      </c>
      <c r="C167" s="6">
        <f t="shared" si="10"/>
        <v>0</v>
      </c>
      <c r="D167" s="16">
        <f>'Rail Cost Summary'!$D$359*C167</f>
        <v>0</v>
      </c>
      <c r="E167" s="210"/>
      <c r="F167" s="16">
        <f>'Rail Cost Summary'!$D$776*C167</f>
        <v>0</v>
      </c>
      <c r="H167" s="6" t="str">
        <f t="shared" si="11"/>
        <v>Ok</v>
      </c>
    </row>
    <row r="168" spans="2:8" ht="9.75" outlineLevel="1">
      <c r="B168" s="22" t="str">
        <f>rail7</f>
        <v>Route 7</v>
      </c>
      <c r="C168" s="6">
        <f t="shared" si="10"/>
        <v>0</v>
      </c>
      <c r="D168" s="16">
        <f>'Rail Cost Summary'!$D$360*C168</f>
        <v>0</v>
      </c>
      <c r="E168" s="210"/>
      <c r="F168" s="16">
        <f>'Rail Cost Summary'!$D$777*C168</f>
        <v>0</v>
      </c>
      <c r="H168" s="6" t="str">
        <f t="shared" si="11"/>
        <v>Ok</v>
      </c>
    </row>
    <row r="169" spans="2:8" ht="9.75" outlineLevel="1">
      <c r="B169" s="22" t="str">
        <f>rail8</f>
        <v>Route 8</v>
      </c>
      <c r="C169" s="6">
        <f t="shared" si="10"/>
        <v>0</v>
      </c>
      <c r="D169" s="16">
        <f>'Rail Cost Summary'!$D$361*C169</f>
        <v>0</v>
      </c>
      <c r="E169" s="210"/>
      <c r="F169" s="16">
        <f>'Rail Cost Summary'!$D$778*C169</f>
        <v>0</v>
      </c>
      <c r="H169" s="6" t="str">
        <f t="shared" si="11"/>
        <v>Ok</v>
      </c>
    </row>
    <row r="170" spans="2:8" ht="9.75" outlineLevel="1">
      <c r="B170" s="22" t="str">
        <f>rail9</f>
        <v>Route 9</v>
      </c>
      <c r="C170" s="6">
        <f t="shared" si="10"/>
        <v>0</v>
      </c>
      <c r="D170" s="16">
        <f>'Rail Cost Summary'!$D$362*C170</f>
        <v>0</v>
      </c>
      <c r="E170" s="210"/>
      <c r="F170" s="16">
        <f>'Rail Cost Summary'!$D$779*C170</f>
        <v>0</v>
      </c>
      <c r="H170" s="6" t="str">
        <f t="shared" si="11"/>
        <v>Ok</v>
      </c>
    </row>
    <row r="171" spans="2:8" ht="9.75" outlineLevel="1">
      <c r="B171" s="22" t="str">
        <f>rail10</f>
        <v>Route 10</v>
      </c>
      <c r="C171" s="6">
        <f t="shared" si="10"/>
        <v>0</v>
      </c>
      <c r="D171" s="16">
        <f>'Rail Cost Summary'!$D$363*C171</f>
        <v>0</v>
      </c>
      <c r="E171" s="210"/>
      <c r="F171" s="16">
        <f>'Rail Cost Summary'!$D$780*C171</f>
        <v>0</v>
      </c>
      <c r="H171" s="6" t="str">
        <f t="shared" si="11"/>
        <v>Ok</v>
      </c>
    </row>
    <row r="172" spans="2:8" ht="9.75" outlineLevel="1">
      <c r="B172" s="22" t="str">
        <f>rail11</f>
        <v>Route 11</v>
      </c>
      <c r="C172" s="6">
        <f t="shared" si="10"/>
        <v>0</v>
      </c>
      <c r="D172" s="16">
        <f>'Rail Cost Summary'!$D$364*C172</f>
        <v>0</v>
      </c>
      <c r="E172" s="210"/>
      <c r="F172" s="16">
        <f>'Rail Cost Summary'!$D$781*C172</f>
        <v>0</v>
      </c>
      <c r="H172" s="6" t="str">
        <f t="shared" si="11"/>
        <v>Ok</v>
      </c>
    </row>
    <row r="173" spans="2:8" ht="9.75" outlineLevel="1">
      <c r="B173" s="22" t="str">
        <f>rail12</f>
        <v>Route 12</v>
      </c>
      <c r="C173" s="6">
        <f t="shared" si="10"/>
        <v>0</v>
      </c>
      <c r="D173" s="16">
        <f>'Rail Cost Summary'!$D$365*C173</f>
        <v>0</v>
      </c>
      <c r="E173" s="210"/>
      <c r="F173" s="16">
        <f>'Rail Cost Summary'!$D$782*C173</f>
        <v>0</v>
      </c>
      <c r="H173" s="6" t="str">
        <f t="shared" si="11"/>
        <v>Ok</v>
      </c>
    </row>
    <row r="174" spans="2:8" ht="9.75" outlineLevel="1">
      <c r="B174" s="22" t="str">
        <f>rail13</f>
        <v>Route 13</v>
      </c>
      <c r="C174" s="6">
        <f t="shared" si="10"/>
        <v>0</v>
      </c>
      <c r="D174" s="16">
        <f>'Rail Cost Summary'!$D$366*C174</f>
        <v>0</v>
      </c>
      <c r="E174" s="210"/>
      <c r="F174" s="16">
        <f>'Rail Cost Summary'!$D$783*C174</f>
        <v>0</v>
      </c>
      <c r="H174" s="6" t="str">
        <f t="shared" si="11"/>
        <v>Ok</v>
      </c>
    </row>
    <row r="175" spans="2:8" ht="9.75" outlineLevel="1">
      <c r="B175" s="22" t="str">
        <f>rail14</f>
        <v>Route 14</v>
      </c>
      <c r="C175" s="6">
        <f t="shared" si="10"/>
        <v>0</v>
      </c>
      <c r="D175" s="16">
        <f>'Rail Cost Summary'!$D$367*C175</f>
        <v>0</v>
      </c>
      <c r="E175" s="210"/>
      <c r="F175" s="16">
        <f>'Rail Cost Summary'!$D$784*C175</f>
        <v>0</v>
      </c>
      <c r="H175" s="6" t="str">
        <f t="shared" si="11"/>
        <v>Ok</v>
      </c>
    </row>
    <row r="176" spans="2:8" ht="9.75" outlineLevel="1">
      <c r="B176" s="22" t="str">
        <f>rail15</f>
        <v>Route 15</v>
      </c>
      <c r="C176" s="6">
        <f t="shared" si="10"/>
        <v>0</v>
      </c>
      <c r="D176" s="16">
        <f>'Rail Cost Summary'!$D$368*C176</f>
        <v>0</v>
      </c>
      <c r="E176" s="210"/>
      <c r="F176" s="16">
        <f>'Rail Cost Summary'!$D$785*C176</f>
        <v>0</v>
      </c>
      <c r="H176" s="6" t="str">
        <f t="shared" si="11"/>
        <v>Ok</v>
      </c>
    </row>
    <row r="177" spans="2:8" ht="9.75" outlineLevel="1">
      <c r="B177" s="22" t="str">
        <f>rail16</f>
        <v>Route 16</v>
      </c>
      <c r="C177" s="6">
        <f t="shared" si="10"/>
        <v>0</v>
      </c>
      <c r="D177" s="16">
        <f>'Rail Cost Summary'!$D$369*C177</f>
        <v>0</v>
      </c>
      <c r="E177" s="210"/>
      <c r="F177" s="16">
        <f>'Rail Cost Summary'!$D$786*C177</f>
        <v>0</v>
      </c>
      <c r="H177" s="6" t="str">
        <f t="shared" si="11"/>
        <v>Ok</v>
      </c>
    </row>
    <row r="178" spans="2:8" ht="9.75" outlineLevel="1">
      <c r="B178" s="22" t="str">
        <f>rail17</f>
        <v>Route 17</v>
      </c>
      <c r="C178" s="6">
        <f t="shared" si="10"/>
        <v>0</v>
      </c>
      <c r="D178" s="16">
        <f>'Rail Cost Summary'!$D$370*C178</f>
        <v>0</v>
      </c>
      <c r="E178" s="210"/>
      <c r="F178" s="16">
        <f>'Rail Cost Summary'!$D$787*C178</f>
        <v>0</v>
      </c>
      <c r="H178" s="6" t="str">
        <f t="shared" si="11"/>
        <v>Ok</v>
      </c>
    </row>
    <row r="179" spans="2:8" ht="9.75" outlineLevel="1">
      <c r="B179" s="22" t="str">
        <f>rail18</f>
        <v>Route 18</v>
      </c>
      <c r="C179" s="6">
        <f t="shared" si="10"/>
        <v>0</v>
      </c>
      <c r="D179" s="16">
        <f>'Rail Cost Summary'!$D$371*C179</f>
        <v>0</v>
      </c>
      <c r="E179" s="210"/>
      <c r="F179" s="16">
        <f>'Rail Cost Summary'!$D$788*C179</f>
        <v>0</v>
      </c>
      <c r="H179" s="6" t="str">
        <f t="shared" si="11"/>
        <v>Ok</v>
      </c>
    </row>
    <row r="180" spans="2:8" ht="9.75" outlineLevel="1">
      <c r="B180" s="22" t="str">
        <f>rail19</f>
        <v>Route 19</v>
      </c>
      <c r="C180" s="6">
        <f t="shared" si="10"/>
        <v>0</v>
      </c>
      <c r="D180" s="16">
        <f>'Rail Cost Summary'!$D$372*C180</f>
        <v>0</v>
      </c>
      <c r="E180" s="210"/>
      <c r="F180" s="16">
        <f>'Rail Cost Summary'!$D$789*C180</f>
        <v>0</v>
      </c>
      <c r="H180" s="6" t="str">
        <f t="shared" si="11"/>
        <v>Ok</v>
      </c>
    </row>
    <row r="181" spans="2:8" ht="9.75" outlineLevel="1">
      <c r="B181" s="22" t="str">
        <f>rail20</f>
        <v>Route 20</v>
      </c>
      <c r="C181" s="6">
        <f t="shared" si="10"/>
        <v>0</v>
      </c>
      <c r="D181" s="16">
        <f>'Rail Cost Summary'!$D$373*C181</f>
        <v>0</v>
      </c>
      <c r="E181" s="210"/>
      <c r="F181" s="16">
        <f>'Rail Cost Summary'!$D$790*C181</f>
        <v>0</v>
      </c>
      <c r="H181" s="6" t="str">
        <f t="shared" si="11"/>
        <v>Ok</v>
      </c>
    </row>
    <row r="182" spans="2:8" ht="9.75" outlineLevel="1">
      <c r="B182" s="1" t="s">
        <v>94</v>
      </c>
      <c r="D182" s="21">
        <f>SUM(D162:D181)</f>
        <v>0</v>
      </c>
      <c r="E182" s="21">
        <f>SUM(E162:E181)</f>
        <v>0</v>
      </c>
      <c r="F182" s="21">
        <f>SUM(F162:F181)</f>
        <v>0</v>
      </c>
      <c r="H182" s="6" t="str">
        <f t="shared" si="11"/>
        <v>Ok</v>
      </c>
    </row>
    <row r="183" spans="2:3" ht="9.75" outlineLevel="1">
      <c r="B183" s="13" t="s">
        <v>306</v>
      </c>
      <c r="C183" s="13"/>
    </row>
    <row r="184" spans="2:4" ht="9.75" outlineLevel="1">
      <c r="B184" s="1" t="s">
        <v>288</v>
      </c>
      <c r="D184" s="8">
        <f>VLOOKUP(B159,custdata,2,FALSE)</f>
        <v>0</v>
      </c>
    </row>
    <row r="185" spans="2:4" ht="9.75" outlineLevel="1">
      <c r="B185" s="1" t="s">
        <v>307</v>
      </c>
      <c r="D185" s="8">
        <f>E210*D212</f>
        <v>0</v>
      </c>
    </row>
    <row r="187" spans="1:3" ht="9.75">
      <c r="A187" s="198" t="str">
        <f>HYPERLINK(CONCATENATE(workbookname,"$A$7"),"Top")</f>
        <v>Top</v>
      </c>
      <c r="B187" s="2" t="str">
        <f>cust7</f>
        <v>Customer 7</v>
      </c>
      <c r="C187" s="2"/>
    </row>
    <row r="188" spans="2:3" ht="9.75">
      <c r="B188" s="171" t="str">
        <f>Contents!D114</f>
        <v>Suggested and contracted pricing associated to this customer</v>
      </c>
      <c r="C188" s="2"/>
    </row>
    <row r="189" ht="9.75" outlineLevel="1">
      <c r="B189" s="1" t="s">
        <v>305</v>
      </c>
    </row>
    <row r="190" spans="2:8" ht="9.75" outlineLevel="1">
      <c r="B190" s="22" t="str">
        <f>rail1</f>
        <v>Cloudbreak to Port Dumper</v>
      </c>
      <c r="C190" s="6">
        <f aca="true" t="shared" si="12" ref="C190:C209">IF(VLOOKUP($B190,railswitch,MATCH(B$187,railswitchhead,FALSE),FALSE)="On",1,0)</f>
        <v>0</v>
      </c>
      <c r="D190" s="16">
        <f>'Rail Cost Summary'!$D$354*C190</f>
        <v>0</v>
      </c>
      <c r="E190" s="210"/>
      <c r="F190" s="16">
        <f>'Rail Cost Summary'!$D$771*C190</f>
        <v>0</v>
      </c>
      <c r="H190" s="6" t="str">
        <f aca="true" t="shared" si="13" ref="H190:H210">IF(OR(E190=0,AND(E190&gt;=$D190,E190&lt;=$F190)),"Ok","Error")</f>
        <v>Ok</v>
      </c>
    </row>
    <row r="191" spans="2:8" ht="9.75" outlineLevel="1">
      <c r="B191" s="22" t="str">
        <f>rail2</f>
        <v>Route 2</v>
      </c>
      <c r="C191" s="6">
        <f t="shared" si="12"/>
        <v>0</v>
      </c>
      <c r="D191" s="16">
        <f>'Rail Cost Summary'!$D$355*C191</f>
        <v>0</v>
      </c>
      <c r="E191" s="210"/>
      <c r="F191" s="16">
        <f>'Rail Cost Summary'!$D$772*C191</f>
        <v>0</v>
      </c>
      <c r="H191" s="6" t="str">
        <f t="shared" si="13"/>
        <v>Ok</v>
      </c>
    </row>
    <row r="192" spans="2:8" ht="9.75" outlineLevel="1">
      <c r="B192" s="22" t="str">
        <f>rail3</f>
        <v>Route 3</v>
      </c>
      <c r="C192" s="6">
        <f t="shared" si="12"/>
        <v>0</v>
      </c>
      <c r="D192" s="16">
        <f>'Rail Cost Summary'!$D$356*C192</f>
        <v>0</v>
      </c>
      <c r="E192" s="210"/>
      <c r="F192" s="16">
        <f>'Rail Cost Summary'!$D$773*C192</f>
        <v>0</v>
      </c>
      <c r="H192" s="6" t="str">
        <f t="shared" si="13"/>
        <v>Ok</v>
      </c>
    </row>
    <row r="193" spans="2:8" ht="9.75" outlineLevel="1">
      <c r="B193" s="22" t="str">
        <f>rail4</f>
        <v>Route 4</v>
      </c>
      <c r="C193" s="6">
        <f t="shared" si="12"/>
        <v>0</v>
      </c>
      <c r="D193" s="16">
        <f>'Rail Cost Summary'!$D$357*C193</f>
        <v>0</v>
      </c>
      <c r="E193" s="210"/>
      <c r="F193" s="16">
        <f>'Rail Cost Summary'!$D$774*C193</f>
        <v>0</v>
      </c>
      <c r="H193" s="6" t="str">
        <f t="shared" si="13"/>
        <v>Ok</v>
      </c>
    </row>
    <row r="194" spans="2:8" ht="9.75" outlineLevel="1">
      <c r="B194" s="22" t="str">
        <f>rail5</f>
        <v>Route 5</v>
      </c>
      <c r="C194" s="6">
        <f t="shared" si="12"/>
        <v>0</v>
      </c>
      <c r="D194" s="16">
        <f>'Rail Cost Summary'!$D$358*C194</f>
        <v>0</v>
      </c>
      <c r="E194" s="210"/>
      <c r="F194" s="16">
        <f>'Rail Cost Summary'!$D$775*C194</f>
        <v>0</v>
      </c>
      <c r="H194" s="6" t="str">
        <f t="shared" si="13"/>
        <v>Ok</v>
      </c>
    </row>
    <row r="195" spans="2:8" ht="9.75" outlineLevel="1">
      <c r="B195" s="22" t="str">
        <f>rail6</f>
        <v>Route 6</v>
      </c>
      <c r="C195" s="6">
        <f t="shared" si="12"/>
        <v>0</v>
      </c>
      <c r="D195" s="16">
        <f>'Rail Cost Summary'!$D$359*C195</f>
        <v>0</v>
      </c>
      <c r="E195" s="210"/>
      <c r="F195" s="16">
        <f>'Rail Cost Summary'!$D$776*C195</f>
        <v>0</v>
      </c>
      <c r="H195" s="6" t="str">
        <f t="shared" si="13"/>
        <v>Ok</v>
      </c>
    </row>
    <row r="196" spans="2:8" ht="9.75" outlineLevel="1">
      <c r="B196" s="22" t="str">
        <f>rail7</f>
        <v>Route 7</v>
      </c>
      <c r="C196" s="6">
        <f t="shared" si="12"/>
        <v>0</v>
      </c>
      <c r="D196" s="16">
        <f>'Rail Cost Summary'!$D$360*C196</f>
        <v>0</v>
      </c>
      <c r="E196" s="210"/>
      <c r="F196" s="16">
        <f>'Rail Cost Summary'!$D$777*C196</f>
        <v>0</v>
      </c>
      <c r="H196" s="6" t="str">
        <f t="shared" si="13"/>
        <v>Ok</v>
      </c>
    </row>
    <row r="197" spans="2:8" ht="9.75" outlineLevel="1">
      <c r="B197" s="22" t="str">
        <f>rail8</f>
        <v>Route 8</v>
      </c>
      <c r="C197" s="6">
        <f t="shared" si="12"/>
        <v>0</v>
      </c>
      <c r="D197" s="16">
        <f>'Rail Cost Summary'!$D$361*C197</f>
        <v>0</v>
      </c>
      <c r="E197" s="210"/>
      <c r="F197" s="16">
        <f>'Rail Cost Summary'!$D$778*C197</f>
        <v>0</v>
      </c>
      <c r="H197" s="6" t="str">
        <f t="shared" si="13"/>
        <v>Ok</v>
      </c>
    </row>
    <row r="198" spans="2:8" ht="9.75" outlineLevel="1">
      <c r="B198" s="22" t="str">
        <f>rail9</f>
        <v>Route 9</v>
      </c>
      <c r="C198" s="6">
        <f t="shared" si="12"/>
        <v>0</v>
      </c>
      <c r="D198" s="16">
        <f>'Rail Cost Summary'!$D$362*C198</f>
        <v>0</v>
      </c>
      <c r="E198" s="210"/>
      <c r="F198" s="16">
        <f>'Rail Cost Summary'!$D$779*C198</f>
        <v>0</v>
      </c>
      <c r="H198" s="6" t="str">
        <f t="shared" si="13"/>
        <v>Ok</v>
      </c>
    </row>
    <row r="199" spans="2:8" ht="9.75" outlineLevel="1">
      <c r="B199" s="22" t="str">
        <f>rail10</f>
        <v>Route 10</v>
      </c>
      <c r="C199" s="6">
        <f t="shared" si="12"/>
        <v>0</v>
      </c>
      <c r="D199" s="16">
        <f>'Rail Cost Summary'!$D$363*C199</f>
        <v>0</v>
      </c>
      <c r="E199" s="210"/>
      <c r="F199" s="16">
        <f>'Rail Cost Summary'!$D$780*C199</f>
        <v>0</v>
      </c>
      <c r="H199" s="6" t="str">
        <f t="shared" si="13"/>
        <v>Ok</v>
      </c>
    </row>
    <row r="200" spans="2:8" ht="9.75" outlineLevel="1">
      <c r="B200" s="22" t="str">
        <f>rail11</f>
        <v>Route 11</v>
      </c>
      <c r="C200" s="6">
        <f t="shared" si="12"/>
        <v>0</v>
      </c>
      <c r="D200" s="16">
        <f>'Rail Cost Summary'!$D$364*C200</f>
        <v>0</v>
      </c>
      <c r="E200" s="210"/>
      <c r="F200" s="16">
        <f>'Rail Cost Summary'!$D$781*C200</f>
        <v>0</v>
      </c>
      <c r="H200" s="6" t="str">
        <f t="shared" si="13"/>
        <v>Ok</v>
      </c>
    </row>
    <row r="201" spans="2:8" ht="9.75" outlineLevel="1">
      <c r="B201" s="22" t="str">
        <f>rail12</f>
        <v>Route 12</v>
      </c>
      <c r="C201" s="6">
        <f t="shared" si="12"/>
        <v>0</v>
      </c>
      <c r="D201" s="16">
        <f>'Rail Cost Summary'!$D$365*C201</f>
        <v>0</v>
      </c>
      <c r="E201" s="210"/>
      <c r="F201" s="16">
        <f>'Rail Cost Summary'!$D$782*C201</f>
        <v>0</v>
      </c>
      <c r="H201" s="6" t="str">
        <f t="shared" si="13"/>
        <v>Ok</v>
      </c>
    </row>
    <row r="202" spans="2:8" ht="9.75" outlineLevel="1">
      <c r="B202" s="22" t="str">
        <f>rail13</f>
        <v>Route 13</v>
      </c>
      <c r="C202" s="6">
        <f t="shared" si="12"/>
        <v>0</v>
      </c>
      <c r="D202" s="16">
        <f>'Rail Cost Summary'!$D$366*C202</f>
        <v>0</v>
      </c>
      <c r="E202" s="210"/>
      <c r="F202" s="16">
        <f>'Rail Cost Summary'!$D$783*C202</f>
        <v>0</v>
      </c>
      <c r="H202" s="6" t="str">
        <f t="shared" si="13"/>
        <v>Ok</v>
      </c>
    </row>
    <row r="203" spans="2:8" ht="9.75" outlineLevel="1">
      <c r="B203" s="22" t="str">
        <f>rail14</f>
        <v>Route 14</v>
      </c>
      <c r="C203" s="6">
        <f t="shared" si="12"/>
        <v>0</v>
      </c>
      <c r="D203" s="16">
        <f>'Rail Cost Summary'!$D$367*C203</f>
        <v>0</v>
      </c>
      <c r="E203" s="210"/>
      <c r="F203" s="16">
        <f>'Rail Cost Summary'!$D$784*C203</f>
        <v>0</v>
      </c>
      <c r="H203" s="6" t="str">
        <f t="shared" si="13"/>
        <v>Ok</v>
      </c>
    </row>
    <row r="204" spans="2:8" ht="9.75" outlineLevel="1">
      <c r="B204" s="22" t="str">
        <f>rail15</f>
        <v>Route 15</v>
      </c>
      <c r="C204" s="6">
        <f t="shared" si="12"/>
        <v>0</v>
      </c>
      <c r="D204" s="16">
        <f>'Rail Cost Summary'!$D$368*C204</f>
        <v>0</v>
      </c>
      <c r="E204" s="210"/>
      <c r="F204" s="16">
        <f>'Rail Cost Summary'!$D$785*C204</f>
        <v>0</v>
      </c>
      <c r="H204" s="6" t="str">
        <f t="shared" si="13"/>
        <v>Ok</v>
      </c>
    </row>
    <row r="205" spans="2:8" ht="9.75" outlineLevel="1">
      <c r="B205" s="22" t="str">
        <f>rail16</f>
        <v>Route 16</v>
      </c>
      <c r="C205" s="6">
        <f t="shared" si="12"/>
        <v>0</v>
      </c>
      <c r="D205" s="16">
        <f>'Rail Cost Summary'!$D$369*C205</f>
        <v>0</v>
      </c>
      <c r="E205" s="210"/>
      <c r="F205" s="16">
        <f>'Rail Cost Summary'!$D$786*C205</f>
        <v>0</v>
      </c>
      <c r="H205" s="6" t="str">
        <f t="shared" si="13"/>
        <v>Ok</v>
      </c>
    </row>
    <row r="206" spans="2:8" ht="9.75" outlineLevel="1">
      <c r="B206" s="22" t="str">
        <f>rail17</f>
        <v>Route 17</v>
      </c>
      <c r="C206" s="6">
        <f t="shared" si="12"/>
        <v>0</v>
      </c>
      <c r="D206" s="16">
        <f>'Rail Cost Summary'!$D$370*C206</f>
        <v>0</v>
      </c>
      <c r="E206" s="210"/>
      <c r="F206" s="16">
        <f>'Rail Cost Summary'!$D$787*C206</f>
        <v>0</v>
      </c>
      <c r="H206" s="6" t="str">
        <f t="shared" si="13"/>
        <v>Ok</v>
      </c>
    </row>
    <row r="207" spans="2:8" ht="9.75" outlineLevel="1">
      <c r="B207" s="22" t="str">
        <f>rail18</f>
        <v>Route 18</v>
      </c>
      <c r="C207" s="6">
        <f t="shared" si="12"/>
        <v>0</v>
      </c>
      <c r="D207" s="16">
        <f>'Rail Cost Summary'!$D$371*C207</f>
        <v>0</v>
      </c>
      <c r="E207" s="210"/>
      <c r="F207" s="16">
        <f>'Rail Cost Summary'!$D$788*C207</f>
        <v>0</v>
      </c>
      <c r="H207" s="6" t="str">
        <f t="shared" si="13"/>
        <v>Ok</v>
      </c>
    </row>
    <row r="208" spans="2:8" ht="9.75" outlineLevel="1">
      <c r="B208" s="22" t="str">
        <f>rail19</f>
        <v>Route 19</v>
      </c>
      <c r="C208" s="6">
        <f t="shared" si="12"/>
        <v>0</v>
      </c>
      <c r="D208" s="16">
        <f>'Rail Cost Summary'!$D$372*C208</f>
        <v>0</v>
      </c>
      <c r="E208" s="210"/>
      <c r="F208" s="16">
        <f>'Rail Cost Summary'!$D$789*C208</f>
        <v>0</v>
      </c>
      <c r="H208" s="6" t="str">
        <f t="shared" si="13"/>
        <v>Ok</v>
      </c>
    </row>
    <row r="209" spans="2:8" ht="9.75" outlineLevel="1">
      <c r="B209" s="22" t="str">
        <f>rail20</f>
        <v>Route 20</v>
      </c>
      <c r="C209" s="6">
        <f t="shared" si="12"/>
        <v>0</v>
      </c>
      <c r="D209" s="16">
        <f>'Rail Cost Summary'!$D$373*C209</f>
        <v>0</v>
      </c>
      <c r="E209" s="210"/>
      <c r="F209" s="16">
        <f>'Rail Cost Summary'!$D$790*C209</f>
        <v>0</v>
      </c>
      <c r="H209" s="6" t="str">
        <f t="shared" si="13"/>
        <v>Ok</v>
      </c>
    </row>
    <row r="210" spans="2:8" ht="9.75" outlineLevel="1">
      <c r="B210" s="1" t="s">
        <v>94</v>
      </c>
      <c r="D210" s="21">
        <f>SUM(D190:D209)</f>
        <v>0</v>
      </c>
      <c r="E210" s="21">
        <f>SUM(E190:E209)</f>
        <v>0</v>
      </c>
      <c r="F210" s="21">
        <f>SUM(F190:F209)</f>
        <v>0</v>
      </c>
      <c r="H210" s="6" t="str">
        <f t="shared" si="13"/>
        <v>Ok</v>
      </c>
    </row>
    <row r="211" spans="2:3" ht="9.75" outlineLevel="1">
      <c r="B211" s="13" t="s">
        <v>306</v>
      </c>
      <c r="C211" s="13"/>
    </row>
    <row r="212" spans="2:4" ht="9.75" outlineLevel="1">
      <c r="B212" s="1" t="s">
        <v>288</v>
      </c>
      <c r="D212" s="8">
        <f>VLOOKUP(B187,custdata,2,FALSE)</f>
        <v>0</v>
      </c>
    </row>
    <row r="213" spans="2:4" ht="9.75" outlineLevel="1">
      <c r="B213" s="1" t="s">
        <v>307</v>
      </c>
      <c r="D213" s="8">
        <f>E238*D240</f>
        <v>0</v>
      </c>
    </row>
    <row r="215" spans="1:3" ht="9.75">
      <c r="A215" s="198" t="str">
        <f>HYPERLINK(CONCATENATE(workbookname,"$A$7"),"Top")</f>
        <v>Top</v>
      </c>
      <c r="B215" s="2" t="str">
        <f>cust8</f>
        <v>Customer 8</v>
      </c>
      <c r="C215" s="2"/>
    </row>
    <row r="216" spans="2:3" ht="9.75">
      <c r="B216" s="171" t="str">
        <f>Contents!D115</f>
        <v>Suggested and contracted pricing associated to this customer</v>
      </c>
      <c r="C216" s="2"/>
    </row>
    <row r="217" ht="9.75" outlineLevel="1">
      <c r="B217" s="1" t="s">
        <v>305</v>
      </c>
    </row>
    <row r="218" spans="2:8" ht="9.75" outlineLevel="1">
      <c r="B218" s="22" t="str">
        <f>rail1</f>
        <v>Cloudbreak to Port Dumper</v>
      </c>
      <c r="C218" s="6">
        <f aca="true" t="shared" si="14" ref="C218:C237">IF(VLOOKUP($B218,railswitch,MATCH(B$215,railswitchhead,FALSE),FALSE)="On",1,0)</f>
        <v>0</v>
      </c>
      <c r="D218" s="16">
        <f>'Rail Cost Summary'!$D$354*C218</f>
        <v>0</v>
      </c>
      <c r="E218" s="210"/>
      <c r="F218" s="16">
        <f>'Rail Cost Summary'!$D$771*C218</f>
        <v>0</v>
      </c>
      <c r="H218" s="6" t="str">
        <f aca="true" t="shared" si="15" ref="H218:H238">IF(OR(E218=0,AND(E218&gt;=$D218,E218&lt;=$F218)),"Ok","Error")</f>
        <v>Ok</v>
      </c>
    </row>
    <row r="219" spans="2:8" ht="9.75" outlineLevel="1">
      <c r="B219" s="22" t="str">
        <f>rail2</f>
        <v>Route 2</v>
      </c>
      <c r="C219" s="6">
        <f t="shared" si="14"/>
        <v>0</v>
      </c>
      <c r="D219" s="16">
        <f>'Rail Cost Summary'!$D$355*C219</f>
        <v>0</v>
      </c>
      <c r="E219" s="210"/>
      <c r="F219" s="16">
        <f>'Rail Cost Summary'!$D$772*C219</f>
        <v>0</v>
      </c>
      <c r="H219" s="6" t="str">
        <f t="shared" si="15"/>
        <v>Ok</v>
      </c>
    </row>
    <row r="220" spans="2:8" ht="9.75" outlineLevel="1">
      <c r="B220" s="22" t="str">
        <f>rail3</f>
        <v>Route 3</v>
      </c>
      <c r="C220" s="6">
        <f t="shared" si="14"/>
        <v>0</v>
      </c>
      <c r="D220" s="16">
        <f>'Rail Cost Summary'!$D$356*C220</f>
        <v>0</v>
      </c>
      <c r="E220" s="210"/>
      <c r="F220" s="16">
        <f>'Rail Cost Summary'!$D$773*C220</f>
        <v>0</v>
      </c>
      <c r="H220" s="6" t="str">
        <f t="shared" si="15"/>
        <v>Ok</v>
      </c>
    </row>
    <row r="221" spans="2:8" ht="9.75" outlineLevel="1">
      <c r="B221" s="22" t="str">
        <f>rail4</f>
        <v>Route 4</v>
      </c>
      <c r="C221" s="6">
        <f t="shared" si="14"/>
        <v>0</v>
      </c>
      <c r="D221" s="16">
        <f>'Rail Cost Summary'!$D$357*C221</f>
        <v>0</v>
      </c>
      <c r="E221" s="210"/>
      <c r="F221" s="16">
        <f>'Rail Cost Summary'!$D$774*C221</f>
        <v>0</v>
      </c>
      <c r="H221" s="6" t="str">
        <f t="shared" si="15"/>
        <v>Ok</v>
      </c>
    </row>
    <row r="222" spans="2:8" ht="9.75" outlineLevel="1">
      <c r="B222" s="22" t="str">
        <f>rail5</f>
        <v>Route 5</v>
      </c>
      <c r="C222" s="6">
        <f t="shared" si="14"/>
        <v>0</v>
      </c>
      <c r="D222" s="16">
        <f>'Rail Cost Summary'!$D$358*C222</f>
        <v>0</v>
      </c>
      <c r="E222" s="210"/>
      <c r="F222" s="16">
        <f>'Rail Cost Summary'!$D$775*C222</f>
        <v>0</v>
      </c>
      <c r="H222" s="6" t="str">
        <f t="shared" si="15"/>
        <v>Ok</v>
      </c>
    </row>
    <row r="223" spans="2:8" ht="9.75" outlineLevel="1">
      <c r="B223" s="22" t="str">
        <f>rail6</f>
        <v>Route 6</v>
      </c>
      <c r="C223" s="6">
        <f t="shared" si="14"/>
        <v>0</v>
      </c>
      <c r="D223" s="16">
        <f>'Rail Cost Summary'!$D$359*C223</f>
        <v>0</v>
      </c>
      <c r="E223" s="210"/>
      <c r="F223" s="16">
        <f>'Rail Cost Summary'!$D$776*C223</f>
        <v>0</v>
      </c>
      <c r="H223" s="6" t="str">
        <f t="shared" si="15"/>
        <v>Ok</v>
      </c>
    </row>
    <row r="224" spans="2:8" ht="9.75" outlineLevel="1">
      <c r="B224" s="22" t="str">
        <f>rail7</f>
        <v>Route 7</v>
      </c>
      <c r="C224" s="6">
        <f t="shared" si="14"/>
        <v>0</v>
      </c>
      <c r="D224" s="16">
        <f>'Rail Cost Summary'!$D$360*C224</f>
        <v>0</v>
      </c>
      <c r="E224" s="210"/>
      <c r="F224" s="16">
        <f>'Rail Cost Summary'!$D$777*C224</f>
        <v>0</v>
      </c>
      <c r="H224" s="6" t="str">
        <f t="shared" si="15"/>
        <v>Ok</v>
      </c>
    </row>
    <row r="225" spans="2:8" ht="9.75" outlineLevel="1">
      <c r="B225" s="22" t="str">
        <f>rail8</f>
        <v>Route 8</v>
      </c>
      <c r="C225" s="6">
        <f t="shared" si="14"/>
        <v>0</v>
      </c>
      <c r="D225" s="16">
        <f>'Rail Cost Summary'!$D$361*C225</f>
        <v>0</v>
      </c>
      <c r="E225" s="210"/>
      <c r="F225" s="16">
        <f>'Rail Cost Summary'!$D$778*C225</f>
        <v>0</v>
      </c>
      <c r="H225" s="6" t="str">
        <f t="shared" si="15"/>
        <v>Ok</v>
      </c>
    </row>
    <row r="226" spans="2:8" ht="9.75" outlineLevel="1">
      <c r="B226" s="22" t="str">
        <f>rail9</f>
        <v>Route 9</v>
      </c>
      <c r="C226" s="6">
        <f t="shared" si="14"/>
        <v>0</v>
      </c>
      <c r="D226" s="16">
        <f>'Rail Cost Summary'!$D$362*C226</f>
        <v>0</v>
      </c>
      <c r="E226" s="210"/>
      <c r="F226" s="16">
        <f>'Rail Cost Summary'!$D$779*C226</f>
        <v>0</v>
      </c>
      <c r="H226" s="6" t="str">
        <f t="shared" si="15"/>
        <v>Ok</v>
      </c>
    </row>
    <row r="227" spans="2:8" ht="9.75" outlineLevel="1">
      <c r="B227" s="22" t="str">
        <f>rail10</f>
        <v>Route 10</v>
      </c>
      <c r="C227" s="6">
        <f t="shared" si="14"/>
        <v>0</v>
      </c>
      <c r="D227" s="16">
        <f>'Rail Cost Summary'!$D$363*C227</f>
        <v>0</v>
      </c>
      <c r="E227" s="210"/>
      <c r="F227" s="16">
        <f>'Rail Cost Summary'!$D$780*C227</f>
        <v>0</v>
      </c>
      <c r="H227" s="6" t="str">
        <f t="shared" si="15"/>
        <v>Ok</v>
      </c>
    </row>
    <row r="228" spans="2:8" ht="9.75" outlineLevel="1">
      <c r="B228" s="22" t="str">
        <f>rail11</f>
        <v>Route 11</v>
      </c>
      <c r="C228" s="6">
        <f t="shared" si="14"/>
        <v>0</v>
      </c>
      <c r="D228" s="16">
        <f>'Rail Cost Summary'!$D$364*C228</f>
        <v>0</v>
      </c>
      <c r="E228" s="210"/>
      <c r="F228" s="16">
        <f>'Rail Cost Summary'!$D$781*C228</f>
        <v>0</v>
      </c>
      <c r="H228" s="6" t="str">
        <f t="shared" si="15"/>
        <v>Ok</v>
      </c>
    </row>
    <row r="229" spans="2:8" ht="9.75" outlineLevel="1">
      <c r="B229" s="22" t="str">
        <f>rail12</f>
        <v>Route 12</v>
      </c>
      <c r="C229" s="6">
        <f t="shared" si="14"/>
        <v>0</v>
      </c>
      <c r="D229" s="16">
        <f>'Rail Cost Summary'!$D$365*C229</f>
        <v>0</v>
      </c>
      <c r="E229" s="210"/>
      <c r="F229" s="16">
        <f>'Rail Cost Summary'!$D$782*C229</f>
        <v>0</v>
      </c>
      <c r="H229" s="6" t="str">
        <f t="shared" si="15"/>
        <v>Ok</v>
      </c>
    </row>
    <row r="230" spans="2:8" ht="9.75" outlineLevel="1">
      <c r="B230" s="22" t="str">
        <f>rail13</f>
        <v>Route 13</v>
      </c>
      <c r="C230" s="6">
        <f t="shared" si="14"/>
        <v>0</v>
      </c>
      <c r="D230" s="16">
        <f>'Rail Cost Summary'!$D$366*C230</f>
        <v>0</v>
      </c>
      <c r="E230" s="210"/>
      <c r="F230" s="16">
        <f>'Rail Cost Summary'!$D$783*C230</f>
        <v>0</v>
      </c>
      <c r="H230" s="6" t="str">
        <f t="shared" si="15"/>
        <v>Ok</v>
      </c>
    </row>
    <row r="231" spans="2:8" ht="9.75" outlineLevel="1">
      <c r="B231" s="22" t="str">
        <f>rail14</f>
        <v>Route 14</v>
      </c>
      <c r="C231" s="6">
        <f t="shared" si="14"/>
        <v>0</v>
      </c>
      <c r="D231" s="16">
        <f>'Rail Cost Summary'!$D$367*C231</f>
        <v>0</v>
      </c>
      <c r="E231" s="210"/>
      <c r="F231" s="16">
        <f>'Rail Cost Summary'!$D$784*C231</f>
        <v>0</v>
      </c>
      <c r="H231" s="6" t="str">
        <f t="shared" si="15"/>
        <v>Ok</v>
      </c>
    </row>
    <row r="232" spans="2:8" ht="9.75" outlineLevel="1">
      <c r="B232" s="22" t="str">
        <f>rail15</f>
        <v>Route 15</v>
      </c>
      <c r="C232" s="6">
        <f t="shared" si="14"/>
        <v>0</v>
      </c>
      <c r="D232" s="16">
        <f>'Rail Cost Summary'!$D$368*C232</f>
        <v>0</v>
      </c>
      <c r="E232" s="210"/>
      <c r="F232" s="16">
        <f>'Rail Cost Summary'!$D$785*C232</f>
        <v>0</v>
      </c>
      <c r="H232" s="6" t="str">
        <f t="shared" si="15"/>
        <v>Ok</v>
      </c>
    </row>
    <row r="233" spans="2:8" ht="9.75" outlineLevel="1">
      <c r="B233" s="22" t="str">
        <f>rail16</f>
        <v>Route 16</v>
      </c>
      <c r="C233" s="6">
        <f t="shared" si="14"/>
        <v>0</v>
      </c>
      <c r="D233" s="16">
        <f>'Rail Cost Summary'!$D$369*C233</f>
        <v>0</v>
      </c>
      <c r="E233" s="210"/>
      <c r="F233" s="16">
        <f>'Rail Cost Summary'!$D$786*C233</f>
        <v>0</v>
      </c>
      <c r="H233" s="6" t="str">
        <f t="shared" si="15"/>
        <v>Ok</v>
      </c>
    </row>
    <row r="234" spans="2:8" ht="9.75" outlineLevel="1">
      <c r="B234" s="22" t="str">
        <f>rail17</f>
        <v>Route 17</v>
      </c>
      <c r="C234" s="6">
        <f t="shared" si="14"/>
        <v>0</v>
      </c>
      <c r="D234" s="16">
        <f>'Rail Cost Summary'!$D$370*C234</f>
        <v>0</v>
      </c>
      <c r="E234" s="210"/>
      <c r="F234" s="16">
        <f>'Rail Cost Summary'!$D$787*C234</f>
        <v>0</v>
      </c>
      <c r="H234" s="6" t="str">
        <f t="shared" si="15"/>
        <v>Ok</v>
      </c>
    </row>
    <row r="235" spans="2:8" ht="9.75" outlineLevel="1">
      <c r="B235" s="22" t="str">
        <f>rail18</f>
        <v>Route 18</v>
      </c>
      <c r="C235" s="6">
        <f t="shared" si="14"/>
        <v>0</v>
      </c>
      <c r="D235" s="16">
        <f>'Rail Cost Summary'!$D$371*C235</f>
        <v>0</v>
      </c>
      <c r="E235" s="210"/>
      <c r="F235" s="16">
        <f>'Rail Cost Summary'!$D$788*C235</f>
        <v>0</v>
      </c>
      <c r="H235" s="6" t="str">
        <f t="shared" si="15"/>
        <v>Ok</v>
      </c>
    </row>
    <row r="236" spans="2:8" ht="9.75" outlineLevel="1">
      <c r="B236" s="22" t="str">
        <f>rail19</f>
        <v>Route 19</v>
      </c>
      <c r="C236" s="6">
        <f t="shared" si="14"/>
        <v>0</v>
      </c>
      <c r="D236" s="16">
        <f>'Rail Cost Summary'!$D$372*C236</f>
        <v>0</v>
      </c>
      <c r="E236" s="210"/>
      <c r="F236" s="16">
        <f>'Rail Cost Summary'!$D$789*C236</f>
        <v>0</v>
      </c>
      <c r="H236" s="6" t="str">
        <f t="shared" si="15"/>
        <v>Ok</v>
      </c>
    </row>
    <row r="237" spans="2:8" ht="9.75" outlineLevel="1">
      <c r="B237" s="22" t="str">
        <f>rail20</f>
        <v>Route 20</v>
      </c>
      <c r="C237" s="6">
        <f t="shared" si="14"/>
        <v>0</v>
      </c>
      <c r="D237" s="16">
        <f>'Rail Cost Summary'!$D$373*C237</f>
        <v>0</v>
      </c>
      <c r="E237" s="210"/>
      <c r="F237" s="16">
        <f>'Rail Cost Summary'!$D$790*C237</f>
        <v>0</v>
      </c>
      <c r="H237" s="6" t="str">
        <f t="shared" si="15"/>
        <v>Ok</v>
      </c>
    </row>
    <row r="238" spans="2:8" ht="9.75" outlineLevel="1">
      <c r="B238" s="1" t="s">
        <v>94</v>
      </c>
      <c r="D238" s="21">
        <f>SUM(D218:D237)</f>
        <v>0</v>
      </c>
      <c r="E238" s="21">
        <f>SUM(E218:E237)</f>
        <v>0</v>
      </c>
      <c r="F238" s="21">
        <f>SUM(F218:F237)</f>
        <v>0</v>
      </c>
      <c r="H238" s="6" t="str">
        <f t="shared" si="15"/>
        <v>Ok</v>
      </c>
    </row>
    <row r="239" spans="2:3" ht="9.75" outlineLevel="1">
      <c r="B239" s="13" t="s">
        <v>306</v>
      </c>
      <c r="C239" s="13"/>
    </row>
    <row r="240" spans="2:4" ht="9.75" outlineLevel="1">
      <c r="B240" s="1" t="s">
        <v>288</v>
      </c>
      <c r="D240" s="8">
        <f>VLOOKUP(B215,custdata,2,FALSE)</f>
        <v>0</v>
      </c>
    </row>
    <row r="241" ht="9.75" outlineLevel="1">
      <c r="B241" s="1" t="s">
        <v>307</v>
      </c>
    </row>
    <row r="243" spans="1:3" ht="9.75">
      <c r="A243" s="198" t="str">
        <f>HYPERLINK(CONCATENATE(workbookname,"$A$7"),"Top")</f>
        <v>Top</v>
      </c>
      <c r="B243" s="2" t="str">
        <f>Contents!B116</f>
        <v>Totals</v>
      </c>
      <c r="C243" s="2"/>
    </row>
    <row r="244" spans="2:3" ht="9.75">
      <c r="B244" s="171" t="str">
        <f>Contents!D116</f>
        <v>Total pricing and reconciliations</v>
      </c>
      <c r="C244" s="2"/>
    </row>
    <row r="245" spans="2:3" ht="9.75" outlineLevel="1">
      <c r="B245" s="1" t="s">
        <v>288</v>
      </c>
      <c r="C245" s="8">
        <f>SUMIF($B$19:$B$241,$B245,$D$19:$D$241)</f>
        <v>40000000</v>
      </c>
    </row>
    <row r="246" spans="2:3" ht="9.75" outlineLevel="1">
      <c r="B246" s="1" t="s">
        <v>307</v>
      </c>
      <c r="C246" s="8">
        <f>SUMIF($B$19:$B$241,$B246,$D$19:$D$241)</f>
        <v>0</v>
      </c>
    </row>
    <row r="247" spans="2:4" ht="9.75" outlineLevel="1">
      <c r="B247" s="1" t="s">
        <v>308</v>
      </c>
      <c r="C247" s="8">
        <f>SUM(railannuity,railunallocatedannuity,railunallocatedlease,raillease,'Rail Asset Calcs'!H63,'Rail Asset Calcs'!I92,'Rail Expenses'!G30)</f>
        <v>230930977.7776511</v>
      </c>
      <c r="D247" s="11"/>
    </row>
    <row r="248" ht="9.75" outlineLevel="1"/>
    <row r="249" spans="2:3" ht="9.75" outlineLevel="1">
      <c r="B249" s="1" t="s">
        <v>309</v>
      </c>
      <c r="C249" s="1" t="str">
        <f>IF(ROUND(C246,2)&lt;=ROUND($C$247,2),"Ok","Error")</f>
        <v>Ok</v>
      </c>
    </row>
  </sheetData>
  <sheetProtection sheet="1" objects="1" scenarios="1"/>
  <mergeCells count="1">
    <mergeCell ref="D5:F5"/>
  </mergeCells>
  <conditionalFormatting sqref="A1">
    <cfRule type="cellIs" priority="1" dxfId="3" operator="equal" stopIfTrue="1">
      <formula>"All Ok"</formula>
    </cfRule>
    <cfRule type="cellIs" priority="2" dxfId="2" operator="notEqual" stopIfTrue="1">
      <formula>"All Ok"</formula>
    </cfRule>
  </conditionalFormatting>
  <printOptions/>
  <pageMargins left="0.75" right="0.75" top="1" bottom="1" header="0.5" footer="0.5"/>
  <pageSetup horizontalDpi="600" verticalDpi="600" orientation="portrait" paperSize="9" r:id="rId1"/>
  <headerFooter alignWithMargins="0">
    <oddFooter>&amp;L&amp;F&amp;R&amp;P</oddFooter>
  </headerFooter>
</worksheet>
</file>

<file path=xl/worksheets/sheet15.xml><?xml version="1.0" encoding="utf-8"?>
<worksheet xmlns="http://schemas.openxmlformats.org/spreadsheetml/2006/main" xmlns:r="http://schemas.openxmlformats.org/officeDocument/2006/relationships">
  <sheetPr>
    <tabColor indexed="45"/>
  </sheetPr>
  <dimension ref="A2:C24"/>
  <sheetViews>
    <sheetView zoomScale="85" zoomScaleNormal="8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18" sqref="C18"/>
    </sheetView>
  </sheetViews>
  <sheetFormatPr defaultColWidth="9.140625" defaultRowHeight="12.75"/>
  <cols>
    <col min="1" max="1" width="5.57421875" style="1" bestFit="1" customWidth="1"/>
    <col min="2" max="2" width="27.421875" style="1" bestFit="1" customWidth="1"/>
    <col min="3" max="3" width="12.8515625" style="6" customWidth="1"/>
    <col min="4" max="10" width="12.8515625" style="1" customWidth="1"/>
    <col min="11" max="16384" width="9.140625" style="1" customWidth="1"/>
  </cols>
  <sheetData>
    <row r="2" ht="12">
      <c r="B2" s="14" t="str">
        <f>modelname</f>
        <v>3rd Party Access Model</v>
      </c>
    </row>
    <row r="3" spans="1:2" ht="11.25">
      <c r="A3" s="24"/>
      <c r="B3" s="190" t="s">
        <v>527</v>
      </c>
    </row>
    <row r="4" ht="9.75">
      <c r="B4" s="205" t="str">
        <f>Contents!D119</f>
        <v>This sheet checks all the other sheets in the model that have error checks on them to give a error check snapshot</v>
      </c>
    </row>
    <row r="5" ht="9.75">
      <c r="B5" s="192" t="str">
        <f>HYPERLINK(Contents!$A$1,"Back to Contents Page")</f>
        <v>Back to Contents Page</v>
      </c>
    </row>
    <row r="6" ht="9.75">
      <c r="C6" s="9" t="s">
        <v>88</v>
      </c>
    </row>
    <row r="8" spans="2:3" ht="9.75">
      <c r="B8" s="1" t="s">
        <v>353</v>
      </c>
      <c r="C8" s="6" t="s">
        <v>84</v>
      </c>
    </row>
    <row r="9" spans="2:3" ht="9.75">
      <c r="B9" s="1" t="s">
        <v>355</v>
      </c>
      <c r="C9" s="6" t="s">
        <v>84</v>
      </c>
    </row>
    <row r="10" spans="2:3" ht="9.75">
      <c r="B10" s="1" t="s">
        <v>365</v>
      </c>
      <c r="C10" s="6" t="s">
        <v>84</v>
      </c>
    </row>
    <row r="11" spans="2:3" ht="9.75">
      <c r="B11" s="1" t="s">
        <v>356</v>
      </c>
      <c r="C11" s="6" t="s">
        <v>84</v>
      </c>
    </row>
    <row r="12" spans="2:3" ht="9.75">
      <c r="B12" s="1" t="s">
        <v>357</v>
      </c>
      <c r="C12" s="6" t="s">
        <v>84</v>
      </c>
    </row>
    <row r="13" spans="2:3" ht="9.75">
      <c r="B13" s="1" t="s">
        <v>359</v>
      </c>
      <c r="C13" s="6" t="str">
        <f ca="1">INDIRECT(CONCATENATE("'",B13,"'")&amp;"!$A$1")</f>
        <v>All Ok</v>
      </c>
    </row>
    <row r="14" spans="2:3" ht="9.75">
      <c r="B14" s="1" t="s">
        <v>358</v>
      </c>
      <c r="C14" s="6" t="str">
        <f ca="1" t="shared" si="0" ref="C14:C20">INDIRECT(CONCATENATE("'",B14,"'")&amp;"!$A$1")</f>
        <v>All Ok</v>
      </c>
    </row>
    <row r="15" spans="2:3" ht="9.75">
      <c r="B15" s="1" t="s">
        <v>360</v>
      </c>
      <c r="C15" s="6" t="s">
        <v>84</v>
      </c>
    </row>
    <row r="16" spans="2:3" ht="9.75">
      <c r="B16" s="1" t="s">
        <v>684</v>
      </c>
      <c r="C16" s="6" t="s">
        <v>84</v>
      </c>
    </row>
    <row r="17" spans="2:3" ht="9.75">
      <c r="B17" s="1" t="s">
        <v>532</v>
      </c>
      <c r="C17" s="6" t="str">
        <f ca="1">INDIRECT(CONCATENATE("'",B17,"'")&amp;"!$A$1")</f>
        <v>All Ok</v>
      </c>
    </row>
    <row r="18" spans="2:3" ht="9.75">
      <c r="B18" s="1" t="s">
        <v>361</v>
      </c>
      <c r="C18" s="6" t="str">
        <f ca="1" t="shared" si="0"/>
        <v>All Ok</v>
      </c>
    </row>
    <row r="19" spans="2:3" ht="9.75">
      <c r="B19" s="1" t="s">
        <v>362</v>
      </c>
      <c r="C19" s="6" t="s">
        <v>84</v>
      </c>
    </row>
    <row r="20" spans="2:3" ht="9.75">
      <c r="B20" s="1" t="s">
        <v>363</v>
      </c>
      <c r="C20" s="6" t="str">
        <f ca="1" t="shared" si="0"/>
        <v>All Ok</v>
      </c>
    </row>
    <row r="21" spans="2:3" ht="9.75">
      <c r="B21" s="1" t="s">
        <v>528</v>
      </c>
      <c r="C21" s="6" t="s">
        <v>84</v>
      </c>
    </row>
    <row r="22" spans="2:3" ht="9.75">
      <c r="B22" s="1" t="s">
        <v>529</v>
      </c>
      <c r="C22" s="6" t="s">
        <v>84</v>
      </c>
    </row>
    <row r="23" ht="10.5" thickBot="1"/>
    <row r="24" spans="2:3" ht="10.5" thickBot="1">
      <c r="B24" s="2" t="s">
        <v>313</v>
      </c>
      <c r="C24" s="206" t="str">
        <f>IF(COUNTIF($C$8:$C$22,"Error")&gt;0,"Error","All OK")</f>
        <v>All OK</v>
      </c>
    </row>
  </sheetData>
  <sheetProtection/>
  <conditionalFormatting sqref="C24 C8:C22">
    <cfRule type="cellIs" priority="1" dxfId="1" operator="equal" stopIfTrue="1">
      <formula>"All Ok"</formula>
    </cfRule>
    <cfRule type="cellIs" priority="2" dxfId="0" operator="equal" stopIfTrue="1">
      <formula>"Error"</formula>
    </cfRule>
  </conditionalFormatting>
  <printOptions/>
  <pageMargins left="0.75" right="0.75" top="1" bottom="1" header="0.5" footer="0.5"/>
  <pageSetup horizontalDpi="600" verticalDpi="600" orientation="portrait" paperSize="9" r:id="rId1"/>
  <headerFooter alignWithMargins="0">
    <oddFooter>&amp;L&amp;F&amp;R&amp;P</oddFooter>
  </headerFooter>
</worksheet>
</file>

<file path=xl/worksheets/sheet2.xml><?xml version="1.0" encoding="utf-8"?>
<worksheet xmlns="http://schemas.openxmlformats.org/spreadsheetml/2006/main" xmlns:r="http://schemas.openxmlformats.org/officeDocument/2006/relationships">
  <dimension ref="A2:D119"/>
  <sheetViews>
    <sheetView zoomScale="85" zoomScaleNormal="85" zoomScalePageLayoutView="0" workbookViewId="0" topLeftCell="A1">
      <pane xSplit="2" ySplit="6" topLeftCell="C33" activePane="bottomRight" state="frozen"/>
      <selection pane="topLeft" activeCell="A1" sqref="A1"/>
      <selection pane="topRight" activeCell="A1" sqref="A1"/>
      <selection pane="bottomLeft" activeCell="A1" sqref="A1"/>
      <selection pane="bottomRight" activeCell="D55" sqref="D55"/>
    </sheetView>
  </sheetViews>
  <sheetFormatPr defaultColWidth="9.140625" defaultRowHeight="12.75"/>
  <cols>
    <col min="1" max="1" width="4.00390625" style="198" bestFit="1" customWidth="1"/>
    <col min="2" max="2" width="46.7109375" style="1" bestFit="1" customWidth="1"/>
    <col min="3" max="3" width="9.57421875" style="6" bestFit="1" customWidth="1"/>
    <col min="4" max="4" width="143.00390625" style="1" bestFit="1" customWidth="1"/>
    <col min="5" max="16384" width="9.140625" style="1" customWidth="1"/>
  </cols>
  <sheetData>
    <row r="2" spans="2:3" ht="12">
      <c r="B2" s="14" t="str">
        <f>modelname</f>
        <v>3rd Party Access Model</v>
      </c>
      <c r="C2" s="191"/>
    </row>
    <row r="3" spans="2:3" ht="11.25">
      <c r="B3" s="190" t="s">
        <v>349</v>
      </c>
      <c r="C3" s="191"/>
    </row>
    <row r="4" spans="2:4" ht="9.75">
      <c r="B4" s="171" t="str">
        <f>D9</f>
        <v>This sheet contains a table of contents for the model</v>
      </c>
      <c r="C4" s="32"/>
      <c r="D4" s="171"/>
    </row>
    <row r="6" spans="2:4" ht="9.75">
      <c r="B6" s="2" t="s">
        <v>352</v>
      </c>
      <c r="C6" s="6" t="s">
        <v>351</v>
      </c>
      <c r="D6" s="2" t="s">
        <v>27</v>
      </c>
    </row>
    <row r="7" spans="2:4" ht="9.75">
      <c r="B7" s="2" t="s">
        <v>353</v>
      </c>
      <c r="C7" s="198" t="str">
        <f>HYPERLINK(CONCATENATE(workbookname,ADDRESS(ROW(Cover!$A$1),COLUMN(Cover!$A$1),4,1,B7)),"Click Here")</f>
        <v>Click Here</v>
      </c>
      <c r="D7" s="1" t="s">
        <v>354</v>
      </c>
    </row>
    <row r="9" spans="2:4" ht="9.75">
      <c r="B9" s="2" t="s">
        <v>355</v>
      </c>
      <c r="C9" s="6" t="s">
        <v>84</v>
      </c>
      <c r="D9" s="210" t="s">
        <v>350</v>
      </c>
    </row>
    <row r="10" ht="9.75">
      <c r="B10" s="2"/>
    </row>
    <row r="11" spans="1:4" ht="9.75">
      <c r="A11" s="198" t="str">
        <f>HYPERLINK(CONCATENATE(workbookname,"$A$7"),"Top")</f>
        <v>Top</v>
      </c>
      <c r="B11" s="2" t="s">
        <v>365</v>
      </c>
      <c r="C11" s="198" t="str">
        <f>HYPERLINK(CONCATENATE(workbookname,ADDRESS(ROW('Other Info'!$A$1),COLUMN('Other Info'!$A$1),4,1,$B$11)),"Click Here")</f>
        <v>Click Here</v>
      </c>
      <c r="D11" s="210" t="s">
        <v>366</v>
      </c>
    </row>
    <row r="12" spans="2:4" ht="9.75">
      <c r="B12" s="216" t="s">
        <v>541</v>
      </c>
      <c r="C12" s="198" t="str">
        <f>HYPERLINK(CONCATENATE(workbookname,ADDRESS(ROW('Other Info'!$A$13),COLUMN('Other Info'!$A$13),4,1,$B$11)),"Click Here")</f>
        <v>Click Here</v>
      </c>
      <c r="D12" s="210" t="s">
        <v>461</v>
      </c>
    </row>
    <row r="13" spans="2:4" ht="9.75">
      <c r="B13" s="216" t="s">
        <v>548</v>
      </c>
      <c r="C13" s="198" t="str">
        <f>HYPERLINK(CONCATENATE(workbookname,ADDRESS(ROW('Other Info'!$A$24),COLUMN('Other Info'!$A$24),4,1,$B$11)),"Click Here")</f>
        <v>Click Here</v>
      </c>
      <c r="D13" s="210" t="s">
        <v>462</v>
      </c>
    </row>
    <row r="14" spans="2:4" ht="9.75">
      <c r="B14" s="216" t="s">
        <v>550</v>
      </c>
      <c r="C14" s="198" t="str">
        <f>HYPERLINK(CONCATENATE(workbookname,ADDRESS(ROW('Other Info'!$A$37),COLUMN('Other Info'!$A$37),4,1,$B$11)),"Click Here")</f>
        <v>Click Here</v>
      </c>
      <c r="D14" s="210" t="s">
        <v>463</v>
      </c>
    </row>
    <row r="15" spans="2:4" ht="9.75">
      <c r="B15" s="216" t="s">
        <v>397</v>
      </c>
      <c r="C15" s="198" t="str">
        <f>HYPERLINK(CONCATENATE(workbookname,ADDRESS(ROW('Other Info'!$A$48),COLUMN('Other Info'!$A$48),4,1,$B$11)),"Click Here")</f>
        <v>Click Here</v>
      </c>
      <c r="D15" s="210" t="s">
        <v>464</v>
      </c>
    </row>
    <row r="16" spans="2:4" ht="9.75">
      <c r="B16" s="216" t="s">
        <v>364</v>
      </c>
      <c r="C16" s="198" t="str">
        <f>HYPERLINK(CONCATENATE(workbookname,ADDRESS(ROW('Other Info'!$A$57),COLUMN('Other Info'!$A$57),4,1,$B$11)),"Click Here")</f>
        <v>Click Here</v>
      </c>
      <c r="D16" s="210" t="s">
        <v>161</v>
      </c>
    </row>
    <row r="17" spans="2:4" ht="9.75">
      <c r="B17" s="199" t="s">
        <v>125</v>
      </c>
      <c r="C17" s="198" t="str">
        <f>HYPERLINK(CONCATENATE(workbookname,ADDRESS(ROW('Other Info'!$A$57),COLUMN('Other Info'!$A$57),4,1,$B$11)),"Click Here")</f>
        <v>Click Here</v>
      </c>
      <c r="D17" s="25" t="s">
        <v>126</v>
      </c>
    </row>
    <row r="18" ht="9.75">
      <c r="C18" s="198"/>
    </row>
    <row r="19" spans="1:4" ht="11.25" customHeight="1">
      <c r="A19" s="198" t="str">
        <f>HYPERLINK(CONCATENATE(workbookname,"$A$7"),"Top")</f>
        <v>Top</v>
      </c>
      <c r="B19" s="2" t="s">
        <v>356</v>
      </c>
      <c r="C19" s="198" t="str">
        <f>HYPERLINK(CONCATENATE(workbookname,ADDRESS(ROW(Assumptions!$A$1),COLUMN(Assumptions!$A$1),4,1,$B$19)),"Click Here")</f>
        <v>Click Here</v>
      </c>
      <c r="D19" s="210" t="s">
        <v>332</v>
      </c>
    </row>
    <row r="20" spans="2:4" ht="9.75">
      <c r="B20" s="216" t="s">
        <v>28</v>
      </c>
      <c r="C20" s="198" t="str">
        <f>HYPERLINK(CONCATENATE(workbookname,ADDRESS(ROW(Assumptions!$A$7),COLUMN(Assumptions!$A$7),4,1,$B$19)),"Click Here")</f>
        <v>Click Here</v>
      </c>
      <c r="D20" s="210" t="s">
        <v>465</v>
      </c>
    </row>
    <row r="21" spans="2:4" ht="9.75">
      <c r="B21" s="216" t="s">
        <v>33</v>
      </c>
      <c r="C21" s="198" t="str">
        <f>HYPERLINK(CONCATENATE(workbookname,ADDRESS(ROW(Assumptions!$A$1),COLUMN(Assumptions!$A$1),4,1,$B$19)),"Click Here")</f>
        <v>Click Here</v>
      </c>
      <c r="D21" s="210" t="s">
        <v>466</v>
      </c>
    </row>
    <row r="22" ht="9.75">
      <c r="C22" s="198"/>
    </row>
    <row r="23" spans="1:4" ht="9.75">
      <c r="A23" s="198" t="str">
        <f>HYPERLINK(CONCATENATE(workbookname,"$A$7"),"Top")</f>
        <v>Top</v>
      </c>
      <c r="B23" s="2" t="s">
        <v>357</v>
      </c>
      <c r="C23" s="198" t="str">
        <f>HYPERLINK(CONCATENATE(workbookname,ADDRESS(ROW(Data!$A$1),COLUMN(Data!$A$1),4,1,$B$23)),"Click Here")</f>
        <v>Click Here</v>
      </c>
      <c r="D23" s="210" t="s">
        <v>333</v>
      </c>
    </row>
    <row r="24" spans="2:4" ht="9.75">
      <c r="B24" s="216" t="s">
        <v>577</v>
      </c>
      <c r="C24" s="198" t="str">
        <f>HYPERLINK(CONCATENATE(workbookname,ADDRESS(ROW(Data!$A$16),COLUMN(Data!$A$16),4,1,$B$23)),"Click Here")</f>
        <v>Click Here</v>
      </c>
      <c r="D24" s="210" t="s">
        <v>467</v>
      </c>
    </row>
    <row r="25" ht="9.75">
      <c r="C25" s="1"/>
    </row>
    <row r="26" spans="2:4" ht="9.75">
      <c r="B26" s="216" t="s">
        <v>590</v>
      </c>
      <c r="C26" s="198" t="str">
        <f>HYPERLINK(CONCATENATE(workbookname,ADDRESS(ROW(Data!$A$27),COLUMN(Data!$A$27),4,1,$B$23)),"Click Here")</f>
        <v>Click Here</v>
      </c>
      <c r="D26" s="210" t="s">
        <v>468</v>
      </c>
    </row>
    <row r="27" spans="2:4" ht="9.75">
      <c r="B27" s="216" t="s">
        <v>54</v>
      </c>
      <c r="C27" s="198" t="str">
        <f>HYPERLINK(CONCATENATE(workbookname,ADDRESS(ROW(Data!$A$32),COLUMN(Data!$A$32),4,1,$B$23)),"Click Here")</f>
        <v>Click Here</v>
      </c>
      <c r="D27" s="210" t="s">
        <v>469</v>
      </c>
    </row>
    <row r="28" ht="9.75">
      <c r="C28" s="1"/>
    </row>
    <row r="29" spans="2:4" ht="9.75">
      <c r="B29" s="216" t="s">
        <v>162</v>
      </c>
      <c r="C29" s="198" t="str">
        <f>HYPERLINK(CONCATENATE(workbookname,ADDRESS(ROW(Data!$A$45),COLUMN(Data!$A$45),4,1,$B$23)),"Click Here")</f>
        <v>Click Here</v>
      </c>
      <c r="D29" s="210" t="s">
        <v>165</v>
      </c>
    </row>
    <row r="30" ht="9.75">
      <c r="C30" s="1"/>
    </row>
    <row r="31" spans="2:4" ht="9.75">
      <c r="B31" s="216" t="s">
        <v>596</v>
      </c>
      <c r="C31" s="198" t="str">
        <f>HYPERLINK(CONCATENATE(workbookname,ADDRESS(ROW(Data!$A$50),COLUMN(Data!$A$50),4,1,$B$23)),"Click Here")</f>
        <v>Click Here</v>
      </c>
      <c r="D31" s="210" t="s">
        <v>470</v>
      </c>
    </row>
    <row r="32" spans="2:4" ht="9.75">
      <c r="B32" s="216" t="s">
        <v>64</v>
      </c>
      <c r="C32" s="198" t="str">
        <f>HYPERLINK(CONCATENATE(workbookname,ADDRESS(ROW(Data!$A$76),COLUMN(Data!$A$76),4,1,$B$23)),"Click Here")</f>
        <v>Click Here</v>
      </c>
      <c r="D32" s="210" t="s">
        <v>339</v>
      </c>
    </row>
    <row r="33" spans="2:4" ht="9.75">
      <c r="B33" s="216" t="s">
        <v>650</v>
      </c>
      <c r="C33" s="198" t="str">
        <f>HYPERLINK(CONCATENATE(workbookname,ADDRESS(ROW(Data!$A$89),COLUMN(Data!$A$89),4,1,$B$23)),"Click Here")</f>
        <v>Click Here</v>
      </c>
      <c r="D33" s="210" t="s">
        <v>338</v>
      </c>
    </row>
    <row r="34" spans="2:4" ht="9.75">
      <c r="B34" s="216" t="s">
        <v>654</v>
      </c>
      <c r="C34" s="198" t="str">
        <f>HYPERLINK(CONCATENATE(workbookname,ADDRESS(ROW(Data!$A$108),COLUMN(Data!$A$108),4,1,$B$23)),"Click Here")</f>
        <v>Click Here</v>
      </c>
      <c r="D34" s="210" t="s">
        <v>340</v>
      </c>
    </row>
    <row r="35" ht="9.75">
      <c r="C35" s="1"/>
    </row>
    <row r="36" spans="1:4" ht="9.75">
      <c r="A36" s="198" t="str">
        <f>HYPERLINK(CONCATENATE(workbookname,"$A$7"),"Top")</f>
        <v>Top</v>
      </c>
      <c r="B36" s="2" t="s">
        <v>359</v>
      </c>
      <c r="C36" s="198" t="str">
        <f>HYPERLINK(CONCATENATE(workbookname,ADDRESS(ROW(Switching!$A$1),COLUMN(Switching!$A$1),4,1,$B$36)),"Click Here")</f>
        <v>Click Here</v>
      </c>
      <c r="D36" s="210" t="s">
        <v>335</v>
      </c>
    </row>
    <row r="37" spans="2:4" ht="9.75">
      <c r="B37" s="216" t="str">
        <f>Switching!B6</f>
        <v>Rail Access Switches</v>
      </c>
      <c r="C37" s="198" t="str">
        <f>HYPERLINK(CONCATENATE(workbookname,ADDRESS(ROW(Switching!$A$6),COLUMN(Switching!$A$6),4,1,$B$36)),"Click Here")</f>
        <v>Click Here</v>
      </c>
      <c r="D37" s="210" t="s">
        <v>341</v>
      </c>
    </row>
    <row r="38" ht="9.75">
      <c r="C38" s="198"/>
    </row>
    <row r="39" spans="1:4" ht="9.75">
      <c r="A39" s="198" t="str">
        <f>HYPERLINK(CONCATENATE(workbookname,"$A$7"),"Top")</f>
        <v>Top</v>
      </c>
      <c r="B39" s="2" t="s">
        <v>358</v>
      </c>
      <c r="C39" s="198" t="str">
        <f>HYPERLINK(CONCATENATE(workbookname,ADDRESS(ROW('Smart Data'!$A$1),COLUMN('Smart Data'!$A$1),4,1,$B$39)),"Click Here")</f>
        <v>Click Here</v>
      </c>
      <c r="D39" s="210" t="s">
        <v>334</v>
      </c>
    </row>
    <row r="40" spans="2:4" ht="9.75">
      <c r="B40" s="217" t="s">
        <v>101</v>
      </c>
      <c r="C40" s="198" t="str">
        <f>HYPERLINK(CONCATENATE(workbookname,ADDRESS(ROW('Smart Data'!$A$13),COLUMN('Smart Data'!$A$13),4,1,$B$39)),"Click Here")</f>
        <v>Click Here</v>
      </c>
      <c r="D40" s="210" t="s">
        <v>342</v>
      </c>
    </row>
    <row r="41" spans="2:4" ht="9.75">
      <c r="B41" s="216" t="s">
        <v>310</v>
      </c>
      <c r="C41" s="198" t="str">
        <f>HYPERLINK(CONCATENATE(workbookname,ADDRESS(ROW('Smart Data'!$A$16),COLUMN('Smart Data'!$A$16),4,1,$B$39)),"Click Here")</f>
        <v>Click Here</v>
      </c>
      <c r="D41" s="210" t="s">
        <v>343</v>
      </c>
    </row>
    <row r="42" spans="2:4" ht="9.75">
      <c r="B42" s="216" t="s">
        <v>312</v>
      </c>
      <c r="C42" s="198" t="str">
        <f>HYPERLINK(CONCATENATE(workbookname,ADDRESS(ROW('Smart Data'!$A$28),COLUMN('Smart Data'!$A$28),4,1,$B$39)),"Click Here")</f>
        <v>Click Here</v>
      </c>
      <c r="D42" s="210" t="s">
        <v>344</v>
      </c>
    </row>
    <row r="43" spans="2:4" ht="9.75">
      <c r="B43" s="216" t="s">
        <v>317</v>
      </c>
      <c r="C43" s="198" t="str">
        <f>HYPERLINK(CONCATENATE(workbookname,ADDRESS(ROW('Smart Data'!$A$45),COLUMN('Smart Data'!$A$45),4,1,$B$39)),"Click Here")</f>
        <v>Click Here</v>
      </c>
      <c r="D43" s="210" t="s">
        <v>345</v>
      </c>
    </row>
    <row r="44" ht="9.75">
      <c r="C44" s="198"/>
    </row>
    <row r="45" spans="1:4" ht="9.75">
      <c r="A45" s="198" t="str">
        <f>HYPERLINK(CONCATENATE(workbookname,"$A$7"),"Top")</f>
        <v>Top</v>
      </c>
      <c r="B45" s="2" t="s">
        <v>492</v>
      </c>
      <c r="C45" s="198" t="str">
        <f>HYPERLINK(CONCATENATE(workbookname,ADDRESS(ROW('Rail Reg Reqs'!$B$1),COLUMN('Rail Reg Reqs'!$B$1),4,1,$B$45)),"Click Here")</f>
        <v>Click Here</v>
      </c>
      <c r="D45" s="210" t="s">
        <v>493</v>
      </c>
    </row>
    <row r="46" spans="2:3" ht="9.75">
      <c r="B46" s="210" t="s">
        <v>399</v>
      </c>
      <c r="C46" s="198" t="str">
        <f>HYPERLINK(CONCATENATE(workbookname,ADDRESS(ROW('Rail Reg Reqs'!$B$26),COLUMN('Rail Reg Reqs'!$B$26),4,1)),"Click Here")</f>
        <v>Click Here</v>
      </c>
    </row>
    <row r="47" spans="2:3" ht="9.75">
      <c r="B47" s="210" t="s">
        <v>401</v>
      </c>
      <c r="C47" s="198" t="str">
        <f>HYPERLINK(CONCATENATE(workbookname,ADDRESS(ROW('Rail Reg Reqs'!$B$29),COLUMN('Rail Reg Reqs'!$B$29),4,1)),"Click Here")</f>
        <v>Click Here</v>
      </c>
    </row>
    <row r="48" ht="9.75">
      <c r="C48" s="1"/>
    </row>
    <row r="49" spans="2:3" ht="9.75">
      <c r="B49" s="210" t="s">
        <v>405</v>
      </c>
      <c r="C49" s="198" t="str">
        <f>HYPERLINK(CONCATENATE(workbookname,ADDRESS(ROW('Rail Reg Reqs'!$B$37),COLUMN('Rail Reg Reqs'!$B$37),4,1)),"Click Here")</f>
        <v>Click Here</v>
      </c>
    </row>
    <row r="50" spans="2:3" ht="9.75">
      <c r="B50" s="210" t="s">
        <v>407</v>
      </c>
      <c r="C50" s="198" t="str">
        <f>HYPERLINK(CONCATENATE(workbookname,ADDRESS(ROW('Rail Reg Reqs'!$B$45),COLUMN('Rail Reg Reqs'!$B$45),4,1)),"Click Here")</f>
        <v>Click Here</v>
      </c>
    </row>
    <row r="51" spans="2:3" ht="9.75">
      <c r="B51" s="210" t="s">
        <v>411</v>
      </c>
      <c r="C51" s="198" t="str">
        <f>HYPERLINK(CONCATENATE(workbookname,ADDRESS(ROW('Rail Reg Reqs'!$B$55),COLUMN('Rail Reg Reqs'!$B$55),4,1)),"Click Here")</f>
        <v>Click Here</v>
      </c>
    </row>
    <row r="52" spans="2:3" ht="9.75">
      <c r="B52" s="210" t="s">
        <v>414</v>
      </c>
      <c r="C52" s="198" t="str">
        <f>HYPERLINK(CONCATENATE(workbookname,ADDRESS(ROW('Rail Reg Reqs'!$B$59),COLUMN('Rail Reg Reqs'!$B$59),4,1)),"Click Here")</f>
        <v>Click Here</v>
      </c>
    </row>
    <row r="53" spans="2:3" ht="9.75">
      <c r="B53" s="210" t="s">
        <v>416</v>
      </c>
      <c r="C53" s="198" t="str">
        <f>HYPERLINK(CONCATENATE(workbookname,ADDRESS(ROW('Rail Reg Reqs'!$B$59),COLUMN('Rail Reg Reqs'!$B$59),4,1)),"Click Here")</f>
        <v>Click Here</v>
      </c>
    </row>
    <row r="54" spans="2:3" ht="9.75">
      <c r="B54" s="210" t="s">
        <v>662</v>
      </c>
      <c r="C54" s="198" t="str">
        <f>HYPERLINK(CONCATENATE(workbookname,ADDRESS(ROW('Rail Reg Reqs'!$B$66),COLUMN('Rail Reg Reqs'!$B$66),4,1)),"Click Here")</f>
        <v>Click Here</v>
      </c>
    </row>
    <row r="55" ht="9.75">
      <c r="C55" s="1"/>
    </row>
    <row r="56" spans="2:3" ht="9.75">
      <c r="B56" s="210" t="s">
        <v>473</v>
      </c>
      <c r="C56" s="198" t="str">
        <f>HYPERLINK(CONCATENATE(workbookname,ADDRESS(ROW('Rail Reg Reqs'!$B$71),COLUMN('Rail Reg Reqs'!$B$71),4,1)),"Click Here")</f>
        <v>Click Here</v>
      </c>
    </row>
    <row r="57" spans="2:3" ht="9.75">
      <c r="B57" s="210" t="s">
        <v>474</v>
      </c>
      <c r="C57" s="198" t="str">
        <f>HYPERLINK(CONCATENATE(workbookname,ADDRESS(ROW('Rail Reg Reqs'!$B$74),COLUMN('Rail Reg Reqs'!$B$74),4,1)),"Click Here")</f>
        <v>Click Here</v>
      </c>
    </row>
    <row r="58" spans="2:3" ht="9.75">
      <c r="B58" s="210" t="s">
        <v>475</v>
      </c>
      <c r="C58" s="198" t="str">
        <f>HYPERLINK(CONCATENATE(workbookname,ADDRESS(ROW('Rail Reg Reqs'!$B$84),COLUMN('Rail Reg Reqs'!$B$84),4,1)),"Click Here")</f>
        <v>Click Here</v>
      </c>
    </row>
    <row r="59" spans="2:3" ht="9.75">
      <c r="B59" s="210" t="s">
        <v>477</v>
      </c>
      <c r="C59" s="198" t="str">
        <f>HYPERLINK(CONCATENATE(workbookname,ADDRESS(ROW('Rail Reg Reqs'!$B$88),COLUMN('Rail Reg Reqs'!$B$88),4,1)),"Click Here")</f>
        <v>Click Here</v>
      </c>
    </row>
    <row r="60" ht="9.75">
      <c r="C60" s="1"/>
    </row>
    <row r="61" spans="2:3" ht="9.75">
      <c r="B61" s="210" t="s">
        <v>480</v>
      </c>
      <c r="C61" s="198" t="str">
        <f>HYPERLINK(CONCATENATE(workbookname,ADDRESS(ROW('Rail Reg Reqs'!$B$93),COLUMN('Rail Reg Reqs'!$B$93),4,1)),"Click Here")</f>
        <v>Click Here</v>
      </c>
    </row>
    <row r="62" spans="2:3" ht="9.75">
      <c r="B62" s="210" t="s">
        <v>481</v>
      </c>
      <c r="C62" s="198" t="str">
        <f>HYPERLINK(CONCATENATE(workbookname,ADDRESS(ROW('Rail Reg Reqs'!$B$94),COLUMN('Rail Reg Reqs'!$B$94),4,1)),"Click Here")</f>
        <v>Click Here</v>
      </c>
    </row>
    <row r="63" spans="2:3" ht="9.75">
      <c r="B63" s="210" t="s">
        <v>482</v>
      </c>
      <c r="C63" s="198" t="str">
        <f>HYPERLINK(CONCATENATE(workbookname,ADDRESS(ROW('Rail Reg Reqs'!$B$98),COLUMN('Rail Reg Reqs'!$B$98),4,1)),"Click Here")</f>
        <v>Click Here</v>
      </c>
    </row>
    <row r="64" ht="9.75">
      <c r="C64" s="1"/>
    </row>
    <row r="65" spans="2:3" ht="9.75">
      <c r="B65" s="210" t="s">
        <v>483</v>
      </c>
      <c r="C65" s="198" t="str">
        <f>HYPERLINK(CONCATENATE(workbookname,ADDRESS(ROW('Rail Reg Reqs'!$B$102),COLUMN('Rail Reg Reqs'!$B$102),4,1)),"Click Here")</f>
        <v>Click Here</v>
      </c>
    </row>
    <row r="66" spans="2:3" ht="9.75">
      <c r="B66" s="210" t="s">
        <v>484</v>
      </c>
      <c r="C66" s="198" t="str">
        <f>HYPERLINK(CONCATENATE(workbookname,ADDRESS(ROW('Rail Reg Reqs'!$B$103),COLUMN('Rail Reg Reqs'!$B$103),4,1)),"Click Here")</f>
        <v>Click Here</v>
      </c>
    </row>
    <row r="67" spans="2:3" ht="9.75">
      <c r="B67" s="210" t="s">
        <v>486</v>
      </c>
      <c r="C67" s="198" t="str">
        <f>HYPERLINK(CONCATENATE(workbookname,ADDRESS(ROW('Rail Reg Reqs'!$B$109),COLUMN('Rail Reg Reqs'!$B$109),4,1)),"Click Here")</f>
        <v>Click Here</v>
      </c>
    </row>
    <row r="68" ht="9.75">
      <c r="C68" s="198"/>
    </row>
    <row r="69" spans="1:4" ht="9.75">
      <c r="A69" s="198" t="str">
        <f>HYPERLINK(CONCATENATE(workbookname,"$A$7"),"Top")</f>
        <v>Top</v>
      </c>
      <c r="B69" s="2" t="s">
        <v>360</v>
      </c>
      <c r="C69" s="198" t="str">
        <f>HYPERLINK(CONCATENATE(workbookname,ADDRESS(ROW('Rail CAPEX'!$A$1),COLUMN('Rail CAPEX'!$A$1),4,1,$B$69)),"Click Here")</f>
        <v>Click Here</v>
      </c>
      <c r="D69" s="210" t="s">
        <v>336</v>
      </c>
    </row>
    <row r="70" spans="2:4" ht="9.75">
      <c r="B70" s="216" t="str">
        <f>'Rail CAPEX'!B6</f>
        <v>Capital Expenditure Projects</v>
      </c>
      <c r="C70" s="198" t="str">
        <f>HYPERLINK(CONCATENATE(workbookname,ADDRESS(ROW('Rail CAPEX'!$A$6),COLUMN('Rail CAPEX'!$A$6),4,1,$B$69)),"Click Here")</f>
        <v>Click Here</v>
      </c>
      <c r="D70" s="210" t="s">
        <v>166</v>
      </c>
    </row>
    <row r="71" spans="2:4" ht="9.75">
      <c r="B71" s="216" t="str">
        <f>'Rail CAPEX'!B52</f>
        <v>Capital Expenditure Yearly Annunities</v>
      </c>
      <c r="C71" s="198" t="str">
        <f>HYPERLINK(CONCATENATE(workbookname,ADDRESS(ROW('Rail CAPEX'!$A$52),COLUMN('Rail CAPEX'!$A$52),4,1,$B$69)),"Click Here")</f>
        <v>Click Here</v>
      </c>
      <c r="D71" s="210" t="s">
        <v>167</v>
      </c>
    </row>
    <row r="72" ht="9.75">
      <c r="C72" s="198"/>
    </row>
    <row r="73" spans="1:4" ht="9.75">
      <c r="A73" s="198" t="str">
        <f>HYPERLINK(CONCATENATE(workbookname,"$A$7"),"Top")</f>
        <v>Top</v>
      </c>
      <c r="B73" s="2" t="s">
        <v>684</v>
      </c>
      <c r="C73" s="198" t="str">
        <f>HYPERLINK(CONCATENATE(workbookname,ADDRESS(ROW('Rail Assets'!$A$1),COLUMN('Rail Assets'!$A$1),4,1,$B$73)),"Click Here")</f>
        <v>Click Here</v>
      </c>
      <c r="D73" s="210" t="s">
        <v>337</v>
      </c>
    </row>
    <row r="74" ht="9.75">
      <c r="C74" s="198"/>
    </row>
    <row r="75" spans="1:4" ht="9.75">
      <c r="A75" s="198" t="str">
        <f>HYPERLINK(CONCATENATE(workbookname,"$A$7"),"Top")</f>
        <v>Top</v>
      </c>
      <c r="B75" s="2" t="s">
        <v>532</v>
      </c>
      <c r="C75" s="198" t="str">
        <f>HYPERLINK(CONCATENATE(workbookname,ADDRESS(ROW('Rail Asset Calcs'!$A$1),COLUMN('Rail Asset Calcs'!$A$1),4,1,$B$75)),"Click Here")</f>
        <v>Click Here</v>
      </c>
      <c r="D75" s="210" t="s">
        <v>168</v>
      </c>
    </row>
    <row r="76" spans="2:4" ht="9.75">
      <c r="B76" s="216" t="s">
        <v>169</v>
      </c>
      <c r="C76" s="198" t="str">
        <f>HYPERLINK(CONCATENATE(workbookname,ADDRESS(ROW('Rail Asset Calcs'!$A$36),COLUMN('Rail Asset Calcs'!$A$36),4,1,$B$75)),"Click Here")</f>
        <v>Click Here</v>
      </c>
      <c r="D76" s="210" t="s">
        <v>167</v>
      </c>
    </row>
    <row r="77" spans="2:4" ht="9.75">
      <c r="B77" s="216" t="str">
        <f>'Rail Asset Calcs'!B66</f>
        <v>Asymetric Risk</v>
      </c>
      <c r="C77" s="198" t="str">
        <f>HYPERLINK(CONCATENATE(workbookname,ADDRESS(ROW('Rail Asset Calcs'!$A$66),COLUMN('Rail Asset Calcs'!$A$66),4,1,$B$75)),"Click Here")</f>
        <v>Click Here</v>
      </c>
      <c r="D77" s="210" t="s">
        <v>170</v>
      </c>
    </row>
    <row r="78" spans="2:4" ht="9.75">
      <c r="B78" s="216" t="str">
        <f>'Rail Asset Calcs'!B94</f>
        <v>Reconciliation</v>
      </c>
      <c r="C78" s="198" t="str">
        <f>HYPERLINK(CONCATENATE(workbookname,ADDRESS(ROW('Rail Asset Calcs'!$A$94),COLUMN('Rail Asset Calcs'!$A$94),4,1,$B$75)),"Click Here")</f>
        <v>Click Here</v>
      </c>
      <c r="D78" s="210" t="s">
        <v>171</v>
      </c>
    </row>
    <row r="79" ht="9.75">
      <c r="C79" s="198"/>
    </row>
    <row r="80" spans="1:4" ht="9.75">
      <c r="A80" s="198" t="str">
        <f>HYPERLINK(CONCATENATE(workbookname,"$A$7"),"Top")</f>
        <v>Top</v>
      </c>
      <c r="B80" s="2" t="s">
        <v>361</v>
      </c>
      <c r="C80" s="198" t="str">
        <f>HYPERLINK(CONCATENATE(workbookname,ADDRESS(ROW('Rail Expenses'!$A$1),COLUMN('Rail Expenses'!$A$1),4,1,$B$80)),"Click Here")</f>
        <v>Click Here</v>
      </c>
      <c r="D80" s="210" t="s">
        <v>346</v>
      </c>
    </row>
    <row r="81" spans="2:4" ht="9.75">
      <c r="B81" s="216" t="s">
        <v>159</v>
      </c>
      <c r="C81" s="198" t="str">
        <f>HYPERLINK(CONCATENATE(workbookname,ADDRESS(ROW('Rail Expenses'!$A$12),COLUMN('Rail Expenses'!$A$12),4,1,$B$80)),"Click Here")</f>
        <v>Click Here</v>
      </c>
      <c r="D81" s="210" t="s">
        <v>103</v>
      </c>
    </row>
    <row r="82" spans="2:4" ht="9.75">
      <c r="B82" s="216" t="s">
        <v>207</v>
      </c>
      <c r="C82" s="198" t="str">
        <f>HYPERLINK(CONCATENATE(workbookname,ADDRESS(ROW('Rail Expenses'!$A$53),COLUMN('Rail Expenses'!$A$53),4,1,$B$80)),"Click Here")</f>
        <v>Click Here</v>
      </c>
      <c r="D82" s="210" t="s">
        <v>104</v>
      </c>
    </row>
    <row r="83" spans="2:4" ht="9.75">
      <c r="B83" s="216" t="s">
        <v>192</v>
      </c>
      <c r="C83" s="198" t="str">
        <f>HYPERLINK(CONCATENATE(workbookname,ADDRESS(ROW('Rail Expenses'!$A$82),COLUMN('Rail Expenses'!$A$82),4,1,$B$80)),"Click Here")</f>
        <v>Click Here</v>
      </c>
      <c r="D83" s="210" t="s">
        <v>105</v>
      </c>
    </row>
    <row r="84" spans="2:4" ht="9.75">
      <c r="B84" s="216" t="s">
        <v>208</v>
      </c>
      <c r="C84" s="198" t="str">
        <f>HYPERLINK(CONCATENATE(workbookname,ADDRESS(ROW('Rail Expenses'!$A$223),COLUMN('Rail Expenses'!$A$223),4,1,$B$80)),"Click Here")</f>
        <v>Click Here</v>
      </c>
      <c r="D84" s="210" t="s">
        <v>106</v>
      </c>
    </row>
    <row r="85" ht="9.75">
      <c r="C85" s="198"/>
    </row>
    <row r="86" spans="1:4" ht="9.75">
      <c r="A86" s="198" t="str">
        <f>HYPERLINK(CONCATENATE(workbookname,"$A$7"),"Top")</f>
        <v>Top</v>
      </c>
      <c r="B86" s="2" t="s">
        <v>362</v>
      </c>
      <c r="C86" s="198" t="str">
        <f>HYPERLINK(CONCATENATE(workbookname,ADDRESS(ROW('Rail Cost Summary'!$A$1),COLUMN('Rail Cost Summary'!$A$1),4,1,$B$86)),"Click Here")</f>
        <v>Click Here</v>
      </c>
      <c r="D86" s="210" t="s">
        <v>347</v>
      </c>
    </row>
    <row r="87" spans="2:4" ht="9.75">
      <c r="B87" s="217" t="s">
        <v>236</v>
      </c>
      <c r="C87" s="198" t="str">
        <f>HYPERLINK(CONCATENATE(workbookname,ADDRESS(ROW('Rail Cost Summary'!$A$28),COLUMN('Rail Cost Summary'!$A$28),4,1,$B$86)),"Click Here")</f>
        <v>Click Here</v>
      </c>
      <c r="D87" s="210" t="s">
        <v>111</v>
      </c>
    </row>
    <row r="88" spans="2:4" ht="9.75">
      <c r="B88" s="216" t="s">
        <v>80</v>
      </c>
      <c r="C88" s="198" t="str">
        <f>HYPERLINK(CONCATENATE(workbookname,ADDRESS(ROW('Rail Cost Summary'!$A$30),COLUMN('Rail Cost Summary'!$A$30),4,1,$B$86)),"Click Here")</f>
        <v>Click Here</v>
      </c>
      <c r="D88" s="210" t="s">
        <v>107</v>
      </c>
    </row>
    <row r="89" spans="2:4" ht="9.75">
      <c r="B89" s="216" t="s">
        <v>682</v>
      </c>
      <c r="C89" s="198" t="str">
        <f>HYPERLINK(CONCATENATE(workbookname,ADDRESS(ROW('Rail Cost Summary'!$A$81),COLUMN('Rail Cost Summary'!$A$81),4,1,$B$86)),"Click Here")</f>
        <v>Click Here</v>
      </c>
      <c r="D89" s="210" t="s">
        <v>108</v>
      </c>
    </row>
    <row r="90" spans="2:4" ht="9.75">
      <c r="B90" s="216" t="s">
        <v>226</v>
      </c>
      <c r="C90" s="198" t="str">
        <f>HYPERLINK(CONCATENATE(workbookname,ADDRESS(ROW('Rail Cost Summary'!$A$133),COLUMN('Rail Cost Summary'!$A$133),4,1,$B$86)),"Click Here")</f>
        <v>Click Here</v>
      </c>
      <c r="D90" s="210" t="s">
        <v>109</v>
      </c>
    </row>
    <row r="91" spans="2:4" ht="9.75">
      <c r="B91" s="216" t="s">
        <v>246</v>
      </c>
      <c r="C91" s="198" t="str">
        <f>HYPERLINK(CONCATENATE(workbookname,ADDRESS(ROW('Rail Cost Summary'!$A$184),COLUMN('Rail Cost Summary'!$A$184),4,1,$B$86)),"Click Here")</f>
        <v>Click Here</v>
      </c>
      <c r="D91" s="210" t="s">
        <v>110</v>
      </c>
    </row>
    <row r="92" spans="2:4" ht="9.75">
      <c r="B92" s="216" t="s">
        <v>162</v>
      </c>
      <c r="C92" s="198" t="str">
        <f>HYPERLINK(CONCATENATE(workbookname,ADDRESS(ROW('Rail Cost Summary'!$A$258),COLUMN('Rail Cost Summary'!$A$258),4,1,$B$86)),"Click Here")</f>
        <v>Click Here</v>
      </c>
      <c r="D92" s="210" t="s">
        <v>172</v>
      </c>
    </row>
    <row r="93" spans="2:4" ht="9.75">
      <c r="B93" s="216" t="s">
        <v>262</v>
      </c>
      <c r="C93" s="198" t="str">
        <f>HYPERLINK(CONCATENATE(workbookname,ADDRESS(ROW('Rail Cost Summary'!$A$286),COLUMN('Rail Cost Summary'!$A$286),4,1,$B$86)),"Click Here")</f>
        <v>Click Here</v>
      </c>
      <c r="D93" s="210" t="s">
        <v>112</v>
      </c>
    </row>
    <row r="94" spans="2:4" ht="9.75">
      <c r="B94" s="216" t="s">
        <v>269</v>
      </c>
      <c r="C94" s="198" t="str">
        <f>HYPERLINK(CONCATENATE(workbookname,ADDRESS(ROW('Rail Cost Summary'!$A$325),COLUMN('Rail Cost Summary'!$A$325),4,1,$B$86)),"Click Here")</f>
        <v>Click Here</v>
      </c>
      <c r="D94" s="210" t="s">
        <v>113</v>
      </c>
    </row>
    <row r="95" spans="2:4" ht="9.75">
      <c r="B95" s="216" t="s">
        <v>272</v>
      </c>
      <c r="C95" s="198" t="str">
        <f>HYPERLINK(CONCATENATE(workbookname,ADDRESS(ROW('Rail Cost Summary'!$A$350),COLUMN('Rail Cost Summary'!$A$350),4,1,$B$86)),"Click Here")</f>
        <v>Click Here</v>
      </c>
      <c r="D95" s="210" t="s">
        <v>114</v>
      </c>
    </row>
    <row r="96" ht="9.75">
      <c r="C96" s="1"/>
    </row>
    <row r="97" spans="2:4" ht="9.75">
      <c r="B97" s="217" t="s">
        <v>276</v>
      </c>
      <c r="C97" s="198" t="str">
        <f>HYPERLINK(CONCATENATE(workbookname,ADDRESS(ROW('Rail Cost Summary'!$A$376),COLUMN('Rail Cost Summary'!$A$376),4,1,$B$86)),"Click Here")</f>
        <v>Click Here</v>
      </c>
      <c r="D97" s="210" t="s">
        <v>115</v>
      </c>
    </row>
    <row r="98" spans="2:4" ht="9.75">
      <c r="B98" s="216" t="s">
        <v>80</v>
      </c>
      <c r="C98" s="198" t="str">
        <f>HYPERLINK(CONCATENATE(workbookname,ADDRESS(ROW('Rail Cost Summary'!$A$378),COLUMN('Rail Cost Summary'!$A$378),4,1,$B$86)),"Click Here")</f>
        <v>Click Here</v>
      </c>
      <c r="D98" s="210" t="s">
        <v>116</v>
      </c>
    </row>
    <row r="99" spans="2:4" ht="9.75">
      <c r="B99" s="216" t="s">
        <v>682</v>
      </c>
      <c r="C99" s="198" t="str">
        <f>HYPERLINK(CONCATENATE(workbookname,ADDRESS(ROW('Rail Cost Summary'!$A$452),COLUMN('Rail Cost Summary'!$A$452),4,1,$B$86)),"Click Here")</f>
        <v>Click Here</v>
      </c>
      <c r="D99" s="210" t="s">
        <v>117</v>
      </c>
    </row>
    <row r="100" spans="2:4" ht="9.75">
      <c r="B100" s="216" t="s">
        <v>226</v>
      </c>
      <c r="C100" s="198" t="str">
        <f>HYPERLINK(CONCATENATE(workbookname,ADDRESS(ROW('Rail Cost Summary'!$A$527),COLUMN('Rail Cost Summary'!$A$527),4,1,$B$86)),"Click Here")</f>
        <v>Click Here</v>
      </c>
      <c r="D100" s="210" t="s">
        <v>118</v>
      </c>
    </row>
    <row r="101" spans="2:4" ht="9.75">
      <c r="B101" s="216" t="s">
        <v>246</v>
      </c>
      <c r="C101" s="198" t="str">
        <f>HYPERLINK(CONCATENATE(workbookname,ADDRESS(ROW('Rail Cost Summary'!$A$601),COLUMN('Rail Cost Summary'!$A$601),4,1,$B$86)),"Click Here")</f>
        <v>Click Here</v>
      </c>
      <c r="D101" s="210" t="s">
        <v>119</v>
      </c>
    </row>
    <row r="102" spans="2:4" ht="9.75">
      <c r="B102" s="216" t="s">
        <v>162</v>
      </c>
      <c r="C102" s="198" t="str">
        <f>HYPERLINK(CONCATENATE(workbookname,ADDRESS(ROW('Rail Cost Summary'!$A$675),COLUMN('Rail Cost Summary'!$A$675),4,1,$B$86)),"Click Here")</f>
        <v>Click Here</v>
      </c>
      <c r="D102" s="210" t="s">
        <v>173</v>
      </c>
    </row>
    <row r="103" spans="2:4" ht="9.75">
      <c r="B103" s="216" t="s">
        <v>291</v>
      </c>
      <c r="C103" s="198" t="str">
        <f>HYPERLINK(CONCATENATE(workbookname,ADDRESS(ROW('Rail Cost Summary'!$A$703),COLUMN('Rail Cost Summary'!$A$703),4,1,$B$86)),"Click Here")</f>
        <v>Click Here</v>
      </c>
      <c r="D103" s="210" t="s">
        <v>112</v>
      </c>
    </row>
    <row r="104" spans="2:4" ht="9.75">
      <c r="B104" s="216" t="s">
        <v>269</v>
      </c>
      <c r="C104" s="198" t="str">
        <f>HYPERLINK(CONCATENATE(workbookname,ADDRESS(ROW('Rail Cost Summary'!$A$742),COLUMN('Rail Cost Summary'!$A$742),4,1,$B$86)),"Click Here")</f>
        <v>Click Here</v>
      </c>
      <c r="D104" s="210" t="s">
        <v>113</v>
      </c>
    </row>
    <row r="105" spans="2:4" ht="9.75">
      <c r="B105" s="216" t="s">
        <v>285</v>
      </c>
      <c r="C105" s="198" t="str">
        <f>HYPERLINK(CONCATENATE(workbookname,ADDRESS(ROW('Rail Cost Summary'!$A$767),COLUMN('Rail Cost Summary'!$A$767),4,1,$B$86)),"Click Here")</f>
        <v>Click Here</v>
      </c>
      <c r="D105" s="210" t="s">
        <v>120</v>
      </c>
    </row>
    <row r="106" ht="9.75">
      <c r="C106" s="198"/>
    </row>
    <row r="107" spans="1:4" ht="9.75">
      <c r="A107" s="198" t="str">
        <f>HYPERLINK(CONCATENATE(workbookname,"$A$7"),"Top")</f>
        <v>Top</v>
      </c>
      <c r="B107" s="2" t="s">
        <v>363</v>
      </c>
      <c r="C107" s="198" t="str">
        <f>HYPERLINK(CONCATENATE(workbookname,ADDRESS(ROW('Rail Pricing'!$A$1),COLUMN('Rail Pricing'!$A$1),4,1,$B$107)),"Click Here")</f>
        <v>Click Here</v>
      </c>
      <c r="D107" s="210" t="s">
        <v>348</v>
      </c>
    </row>
    <row r="108" spans="2:4" ht="9.75">
      <c r="B108" s="22" t="str">
        <f>cust1</f>
        <v>FMG - CB</v>
      </c>
      <c r="C108" s="198" t="str">
        <f>HYPERLINK(CONCATENATE(workbookname,ADDRESS(ROW('Rail Pricing'!$A$19),COLUMN('Rail Pricing'!$A$19),4,1,$B$107)),"Click Here")</f>
        <v>Click Here</v>
      </c>
      <c r="D108" s="210" t="s">
        <v>121</v>
      </c>
    </row>
    <row r="109" spans="2:4" ht="9.75">
      <c r="B109" s="22" t="str">
        <f>cust2</f>
        <v>Customer 2</v>
      </c>
      <c r="C109" s="198" t="str">
        <f>HYPERLINK(CONCATENATE(workbookname,ADDRESS(ROW('Rail Pricing'!$A$47),COLUMN('Rail Pricing'!$A$47),4,1,$B$107)),"Click Here")</f>
        <v>Click Here</v>
      </c>
      <c r="D109" s="210" t="s">
        <v>121</v>
      </c>
    </row>
    <row r="110" spans="2:4" ht="9.75">
      <c r="B110" s="22" t="str">
        <f>cust3</f>
        <v>Customer 3</v>
      </c>
      <c r="C110" s="198" t="str">
        <f>HYPERLINK(CONCATENATE(workbookname,ADDRESS(ROW('Rail Pricing'!$A$75),COLUMN('Rail Pricing'!$A$75),4,1,$B$107)),"Click Here")</f>
        <v>Click Here</v>
      </c>
      <c r="D110" s="210" t="s">
        <v>121</v>
      </c>
    </row>
    <row r="111" spans="2:4" ht="9.75">
      <c r="B111" s="22" t="str">
        <f>cust4</f>
        <v>Customer 4</v>
      </c>
      <c r="C111" s="198" t="str">
        <f>HYPERLINK(CONCATENATE(workbookname,ADDRESS(ROW('Rail Pricing'!$A$103),COLUMN('Rail Pricing'!$A$103),4,1,$B$107)),"Click Here")</f>
        <v>Click Here</v>
      </c>
      <c r="D111" s="210" t="s">
        <v>121</v>
      </c>
    </row>
    <row r="112" spans="2:4" ht="9.75">
      <c r="B112" s="22" t="str">
        <f>cust5</f>
        <v>Customer 5</v>
      </c>
      <c r="C112" s="198" t="str">
        <f>HYPERLINK(CONCATENATE(workbookname,ADDRESS(ROW('Rail Pricing'!$A$131),COLUMN('Rail Pricing'!$A$131),4,1,$B$107)),"Click Here")</f>
        <v>Click Here</v>
      </c>
      <c r="D112" s="210" t="s">
        <v>121</v>
      </c>
    </row>
    <row r="113" spans="2:4" ht="9.75">
      <c r="B113" s="22" t="str">
        <f>cust6</f>
        <v>Customer 6</v>
      </c>
      <c r="C113" s="198" t="str">
        <f>HYPERLINK(CONCATENATE(workbookname,ADDRESS(ROW('Rail Pricing'!$A$159),COLUMN('Rail Pricing'!$A$159),4,1,$B$107)),"Click Here")</f>
        <v>Click Here</v>
      </c>
      <c r="D113" s="210" t="s">
        <v>121</v>
      </c>
    </row>
    <row r="114" spans="2:4" ht="9.75">
      <c r="B114" s="22" t="str">
        <f>cust7</f>
        <v>Customer 7</v>
      </c>
      <c r="C114" s="198" t="str">
        <f>HYPERLINK(CONCATENATE(workbookname,ADDRESS(ROW('Rail Pricing'!$A$187),COLUMN('Rail Pricing'!$A$187),4,1,$B$107)),"Click Here")</f>
        <v>Click Here</v>
      </c>
      <c r="D114" s="210" t="s">
        <v>121</v>
      </c>
    </row>
    <row r="115" spans="2:4" ht="9.75">
      <c r="B115" s="22" t="str">
        <f>cust8</f>
        <v>Customer 8</v>
      </c>
      <c r="C115" s="198" t="str">
        <f>HYPERLINK(CONCATENATE(workbookname,ADDRESS(ROW('Rail Pricing'!$A$215),COLUMN('Rail Pricing'!$A$215),4,1,$B$107)),"Click Here")</f>
        <v>Click Here</v>
      </c>
      <c r="D115" s="210" t="s">
        <v>121</v>
      </c>
    </row>
    <row r="116" spans="2:4" ht="9.75">
      <c r="B116" s="216" t="s">
        <v>645</v>
      </c>
      <c r="C116" s="198" t="str">
        <f>HYPERLINK(CONCATENATE(workbookname,ADDRESS(ROW('Rail Pricing'!$A$243),COLUMN('Rail Pricing'!$A$243),4,1,$B$107)),"Click Here")</f>
        <v>Click Here</v>
      </c>
      <c r="D116" s="210" t="s">
        <v>122</v>
      </c>
    </row>
    <row r="117" ht="9.75">
      <c r="C117" s="198"/>
    </row>
    <row r="119" spans="1:4" ht="9.75">
      <c r="A119" s="198" t="str">
        <f>HYPERLINK(CONCATENATE(workbookname,"$A$7"),"Top")</f>
        <v>Top</v>
      </c>
      <c r="B119" s="2" t="s">
        <v>528</v>
      </c>
      <c r="C119" s="198" t="str">
        <f>HYPERLINK(CONCATENATE(workbookname,ADDRESS(ROW('Global Error Check'!$A$1),COLUMN('Global Error Check'!$A$1),4,1,$B$119)),"Click Here")</f>
        <v>Click Here</v>
      </c>
      <c r="D119" s="210" t="s">
        <v>123</v>
      </c>
    </row>
  </sheetData>
  <sheetProtection/>
  <printOptions/>
  <pageMargins left="0.75" right="0.75" top="1" bottom="1" header="0.5" footer="0.5"/>
  <pageSetup horizontalDpi="600" verticalDpi="600" orientation="portrait" paperSize="9" r:id="rId1"/>
  <headerFooter alignWithMargins="0">
    <oddFooter>&amp;L&amp;F&amp;R&amp;P</oddFooter>
  </headerFooter>
</worksheet>
</file>

<file path=xl/worksheets/sheet3.xml><?xml version="1.0" encoding="utf-8"?>
<worksheet xmlns="http://schemas.openxmlformats.org/spreadsheetml/2006/main" xmlns:r="http://schemas.openxmlformats.org/officeDocument/2006/relationships">
  <dimension ref="A2:E183"/>
  <sheetViews>
    <sheetView zoomScale="85" zoomScaleNormal="85" zoomScalePageLayoutView="0" workbookViewId="0" topLeftCell="A1">
      <pane xSplit="2" ySplit="4" topLeftCell="C56" activePane="bottomRight" state="frozen"/>
      <selection pane="topLeft" activeCell="A1" sqref="A1"/>
      <selection pane="topRight" activeCell="A1" sqref="A1"/>
      <selection pane="bottomLeft" activeCell="A1" sqref="A1"/>
      <selection pane="bottomRight" activeCell="D130" sqref="D130"/>
    </sheetView>
  </sheetViews>
  <sheetFormatPr defaultColWidth="9.140625" defaultRowHeight="12.75" outlineLevelRow="1"/>
  <cols>
    <col min="1" max="1" width="4.57421875" style="1" bestFit="1" customWidth="1"/>
    <col min="2" max="2" width="49.28125" style="1" customWidth="1"/>
    <col min="3" max="3" width="25.28125" style="6" bestFit="1" customWidth="1"/>
    <col min="4" max="4" width="9.57421875" style="6" customWidth="1"/>
    <col min="5" max="5" width="125.00390625" style="1" customWidth="1"/>
    <col min="6" max="16384" width="9.140625" style="1" customWidth="1"/>
  </cols>
  <sheetData>
    <row r="2" spans="2:4" ht="12">
      <c r="B2" s="14" t="str">
        <f>modelname</f>
        <v>3rd Party Access Model</v>
      </c>
      <c r="C2" s="191"/>
      <c r="D2" s="191"/>
    </row>
    <row r="3" spans="1:4" ht="11.25">
      <c r="A3" s="24"/>
      <c r="B3" s="190" t="s">
        <v>396</v>
      </c>
      <c r="C3" s="191"/>
      <c r="D3" s="191"/>
    </row>
    <row r="4" spans="2:5" ht="9.75">
      <c r="B4" s="171" t="str">
        <f>Contents!D11</f>
        <v>This sheet contains useful information in regards to operating the model</v>
      </c>
      <c r="C4" s="32"/>
      <c r="D4" s="32"/>
      <c r="E4" s="171"/>
    </row>
    <row r="5" spans="2:5" ht="9.75">
      <c r="B5" s="171"/>
      <c r="C5" s="32"/>
      <c r="D5" s="32"/>
      <c r="E5" s="171"/>
    </row>
    <row r="6" spans="2:5" ht="9.75">
      <c r="B6" s="2" t="s">
        <v>124</v>
      </c>
      <c r="C6" s="32"/>
      <c r="D6" s="32"/>
      <c r="E6" s="171"/>
    </row>
    <row r="7" spans="2:5" ht="9.75">
      <c r="B7" s="199" t="s">
        <v>541</v>
      </c>
      <c r="C7" s="198" t="str">
        <f>HYPERLINK(CONCATENATE(workbookname,ADDRESS(ROW('Other Info'!$A$13),COLUMN('Other Info'!$A$13),4,1)),"Click Here")</f>
        <v>Click Here</v>
      </c>
      <c r="D7" s="32"/>
      <c r="E7" s="171"/>
    </row>
    <row r="8" spans="2:5" ht="9.75">
      <c r="B8" s="199" t="s">
        <v>548</v>
      </c>
      <c r="C8" s="198" t="str">
        <f>HYPERLINK(CONCATENATE(workbookname,ADDRESS(ROW('Other Info'!$A$24),COLUMN('Other Info'!$A$24),4,1)),"Click Here")</f>
        <v>Click Here</v>
      </c>
      <c r="D8" s="32"/>
      <c r="E8" s="171"/>
    </row>
    <row r="9" spans="2:5" ht="9.75">
      <c r="B9" s="199" t="s">
        <v>550</v>
      </c>
      <c r="C9" s="198" t="str">
        <f>HYPERLINK(CONCATENATE(workbookname,ADDRESS(ROW('Other Info'!$A$37),COLUMN('Other Info'!$A$37),4,1)),"Click Here")</f>
        <v>Click Here</v>
      </c>
      <c r="D9" s="32"/>
      <c r="E9" s="171"/>
    </row>
    <row r="10" spans="2:5" ht="9.75">
      <c r="B10" s="199" t="s">
        <v>397</v>
      </c>
      <c r="C10" s="198" t="str">
        <f>HYPERLINK(CONCATENATE(workbookname,ADDRESS(ROW('Other Info'!$A$48),COLUMN('Other Info'!$A$48),4,1)),"Click Here")</f>
        <v>Click Here</v>
      </c>
      <c r="D10" s="32"/>
      <c r="E10" s="171"/>
    </row>
    <row r="11" spans="2:5" ht="9.75">
      <c r="B11" s="199" t="s">
        <v>364</v>
      </c>
      <c r="C11" s="198" t="str">
        <f>HYPERLINK(CONCATENATE(workbookname,ADDRESS(ROW('Other Info'!$A$57),COLUMN('Other Info'!$A$57),4,1)),"Click Here")</f>
        <v>Click Here</v>
      </c>
      <c r="D11" s="32"/>
      <c r="E11" s="171"/>
    </row>
    <row r="13" spans="1:2" ht="9.75">
      <c r="A13" s="198" t="str">
        <f>HYPERLINK(CONCATENATE(workbookname,"$A$5"),"Top")</f>
        <v>Top</v>
      </c>
      <c r="B13" s="2" t="str">
        <f>Contents!B12</f>
        <v>Cell Formatting</v>
      </c>
    </row>
    <row r="14" ht="9.75">
      <c r="B14" s="171" t="str">
        <f>Contents!D12</f>
        <v>This section shows standard formatting used throughout this model</v>
      </c>
    </row>
    <row r="15" spans="2:3" ht="9.75" outlineLevel="1">
      <c r="B15" s="1" t="s">
        <v>544</v>
      </c>
      <c r="C15" s="6">
        <v>1234</v>
      </c>
    </row>
    <row r="16" spans="2:3" ht="9.75" outlineLevel="1">
      <c r="B16" s="1" t="s">
        <v>542</v>
      </c>
      <c r="C16" s="194">
        <v>1234</v>
      </c>
    </row>
    <row r="17" spans="2:3" ht="10.5" outlineLevel="1" thickBot="1">
      <c r="B17" s="1" t="s">
        <v>543</v>
      </c>
      <c r="C17" s="10">
        <v>1234</v>
      </c>
    </row>
    <row r="18" spans="2:4" ht="10.5" outlineLevel="1" thickBot="1">
      <c r="B18" s="1" t="s">
        <v>545</v>
      </c>
      <c r="C18" s="196" t="s">
        <v>546</v>
      </c>
      <c r="D18" s="197">
        <v>1234</v>
      </c>
    </row>
    <row r="19" spans="2:4" ht="9.75" outlineLevel="1">
      <c r="B19" s="1" t="s">
        <v>364</v>
      </c>
      <c r="C19" s="4">
        <v>1234</v>
      </c>
      <c r="D19" s="142"/>
    </row>
    <row r="20" spans="2:4" ht="9.75" outlineLevel="1">
      <c r="B20" s="1" t="s">
        <v>547</v>
      </c>
      <c r="C20" s="198">
        <v>1234</v>
      </c>
      <c r="D20" s="142"/>
    </row>
    <row r="21" spans="2:4" ht="9.75" outlineLevel="1">
      <c r="B21" s="1" t="s">
        <v>530</v>
      </c>
      <c r="C21" s="207"/>
      <c r="D21" s="142"/>
    </row>
    <row r="22" spans="2:4" ht="9.75" outlineLevel="1">
      <c r="B22" s="1" t="s">
        <v>531</v>
      </c>
      <c r="C22" s="208"/>
      <c r="D22" s="142"/>
    </row>
    <row r="24" spans="1:2" ht="9.75">
      <c r="A24" s="198" t="str">
        <f>HYPERLINK(CONCATENATE(workbookname,"$A$5"),"Top")</f>
        <v>Top</v>
      </c>
      <c r="B24" s="2" t="str">
        <f>Contents!B13</f>
        <v>Model Structure</v>
      </c>
    </row>
    <row r="25" ht="9.75">
      <c r="B25" s="171" t="str">
        <f>Contents!D13</f>
        <v>This section outlines the model flow at a high level</v>
      </c>
    </row>
    <row r="26" ht="9.75" outlineLevel="1">
      <c r="B26" s="2"/>
    </row>
    <row r="27" ht="9.75" outlineLevel="1">
      <c r="B27" s="2"/>
    </row>
    <row r="28" ht="10.5" outlineLevel="1">
      <c r="B28" s="2"/>
    </row>
    <row r="29" ht="10.5" outlineLevel="1">
      <c r="B29" s="2"/>
    </row>
    <row r="30" ht="10.5" outlineLevel="1">
      <c r="B30" s="2"/>
    </row>
    <row r="31" ht="10.5" outlineLevel="1">
      <c r="B31" s="2"/>
    </row>
    <row r="32" ht="9.75" outlineLevel="1">
      <c r="B32" s="2"/>
    </row>
    <row r="33" ht="9.75" outlineLevel="1">
      <c r="B33" s="2"/>
    </row>
    <row r="34" ht="9.75" outlineLevel="1">
      <c r="B34" s="1" t="s">
        <v>549</v>
      </c>
    </row>
    <row r="35" ht="9.75" outlineLevel="1"/>
    <row r="37" spans="1:2" ht="9.75">
      <c r="A37" s="198" t="str">
        <f>HYPERLINK(CONCATENATE(workbookname,"$A$5"),"Top")</f>
        <v>Top</v>
      </c>
      <c r="B37" s="2" t="str">
        <f>Contents!B14</f>
        <v>Potential Errors and Resolutions</v>
      </c>
    </row>
    <row r="38" ht="9.75">
      <c r="B38" s="171" t="str">
        <f>Contents!D14</f>
        <v>Helpful hint for a common error</v>
      </c>
    </row>
    <row r="39" ht="9.75" outlineLevel="1">
      <c r="B39" s="13" t="s">
        <v>551</v>
      </c>
    </row>
    <row r="40" ht="9.75" outlineLevel="1">
      <c r="B40" s="1" t="s">
        <v>558</v>
      </c>
    </row>
    <row r="41" ht="9.75" outlineLevel="1">
      <c r="B41" s="22" t="s">
        <v>552</v>
      </c>
    </row>
    <row r="42" ht="9.75" outlineLevel="1">
      <c r="B42" s="22" t="s">
        <v>553</v>
      </c>
    </row>
    <row r="43" ht="9.75" outlineLevel="1">
      <c r="B43" s="22" t="s">
        <v>554</v>
      </c>
    </row>
    <row r="44" ht="9.75" outlineLevel="1">
      <c r="B44" s="22" t="s">
        <v>555</v>
      </c>
    </row>
    <row r="45" ht="9.75" outlineLevel="1">
      <c r="B45" s="1" t="s">
        <v>556</v>
      </c>
    </row>
    <row r="46" ht="9.75" outlineLevel="1">
      <c r="B46" s="1" t="s">
        <v>557</v>
      </c>
    </row>
    <row r="48" spans="1:2" ht="9.75">
      <c r="A48" s="198" t="str">
        <f>HYPERLINK(CONCATENATE(workbookname,"$A$5"),"Top")</f>
        <v>Top</v>
      </c>
      <c r="B48" s="2" t="str">
        <f>Contents!B15</f>
        <v>How To Use This Model</v>
      </c>
    </row>
    <row r="49" ht="9.75">
      <c r="B49" s="171" t="str">
        <f>Contents!D15</f>
        <v>Please follow the following steps when using this model</v>
      </c>
    </row>
    <row r="50" ht="9.75" outlineLevel="1">
      <c r="B50" s="1" t="s">
        <v>494</v>
      </c>
    </row>
    <row r="51" ht="9.75" outlineLevel="1">
      <c r="B51" s="1" t="s">
        <v>495</v>
      </c>
    </row>
    <row r="52" ht="9.75" outlineLevel="1">
      <c r="B52" s="1" t="s">
        <v>496</v>
      </c>
    </row>
    <row r="53" ht="9.75" outlineLevel="1">
      <c r="B53" s="1" t="s">
        <v>497</v>
      </c>
    </row>
    <row r="54" ht="9.75" outlineLevel="1">
      <c r="B54" s="1" t="s">
        <v>498</v>
      </c>
    </row>
    <row r="55" ht="9.75" outlineLevel="1">
      <c r="B55" s="1" t="s">
        <v>499</v>
      </c>
    </row>
    <row r="57" spans="1:2" ht="9.75">
      <c r="A57" s="198" t="str">
        <f>HYPERLINK(CONCATENATE(workbookname,"$A$5"),"Top")</f>
        <v>Top</v>
      </c>
      <c r="B57" s="2" t="str">
        <f>Contents!B16</f>
        <v>Name Reference</v>
      </c>
    </row>
    <row r="58" ht="9.75">
      <c r="B58" s="171" t="str">
        <f>Contents!D16</f>
        <v>The following list contains all name references and a brief description</v>
      </c>
    </row>
    <row r="59" spans="2:5" ht="9.75" outlineLevel="1">
      <c r="B59" s="2" t="s">
        <v>540</v>
      </c>
      <c r="C59" s="9" t="s">
        <v>539</v>
      </c>
      <c r="D59" s="9" t="s">
        <v>351</v>
      </c>
      <c r="E59" s="2" t="s">
        <v>27</v>
      </c>
    </row>
    <row r="60" spans="2:5" ht="9.75" outlineLevel="1">
      <c r="B60" s="1" t="s">
        <v>102</v>
      </c>
      <c r="C60" s="1" t="str">
        <f aca="true" ca="1" t="shared" si="0" ref="C60:C85">SUBSTITUTE(CELL("Address",INDIRECT(B60)),workbookname,"")</f>
        <v>'Data'!$B$47</v>
      </c>
      <c r="D60" s="193" t="str">
        <f aca="true" t="shared" si="1" ref="D60:D85">HYPERLINK(CONCATENATE(workbookname,B60),"Click Here")</f>
        <v>Click Here</v>
      </c>
      <c r="E60" s="210" t="s">
        <v>174</v>
      </c>
    </row>
    <row r="61" spans="2:5" ht="9.75" outlineLevel="1">
      <c r="B61" s="1" t="s">
        <v>367</v>
      </c>
      <c r="C61" s="1" t="str">
        <f ca="1" t="shared" si="0"/>
        <v>'Data'!$C$48</v>
      </c>
      <c r="D61" s="193" t="str">
        <f t="shared" si="1"/>
        <v>Click Here</v>
      </c>
      <c r="E61" s="210" t="s">
        <v>175</v>
      </c>
    </row>
    <row r="62" spans="2:5" ht="9.75" outlineLevel="1">
      <c r="B62" s="1" t="s">
        <v>368</v>
      </c>
      <c r="C62" s="1" t="str">
        <f ca="1" t="shared" si="0"/>
        <v>'Data'!$F$47</v>
      </c>
      <c r="D62" s="193" t="str">
        <f t="shared" si="1"/>
        <v>Click Here</v>
      </c>
      <c r="E62" s="210" t="s">
        <v>176</v>
      </c>
    </row>
    <row r="63" spans="2:5" ht="9.75" outlineLevel="1">
      <c r="B63" s="1" t="s">
        <v>369</v>
      </c>
      <c r="C63" s="1" t="str">
        <f ca="1" t="shared" si="0"/>
        <v>'Data'!$B$29</v>
      </c>
      <c r="D63" s="193" t="str">
        <f t="shared" si="1"/>
        <v>Click Here</v>
      </c>
      <c r="E63" s="210" t="s">
        <v>177</v>
      </c>
    </row>
    <row r="64" spans="2:5" ht="9.75" outlineLevel="1">
      <c r="B64" s="1" t="s">
        <v>370</v>
      </c>
      <c r="C64" s="1" t="str">
        <f ca="1" t="shared" si="0"/>
        <v>'Data'!$C$35</v>
      </c>
      <c r="D64" s="193" t="str">
        <f t="shared" si="1"/>
        <v>Click Here</v>
      </c>
      <c r="E64" s="210" t="s">
        <v>559</v>
      </c>
    </row>
    <row r="65" spans="2:5" ht="9.75" outlineLevel="1">
      <c r="B65" s="1" t="s">
        <v>371</v>
      </c>
      <c r="C65" s="1" t="str">
        <f ca="1" t="shared" si="0"/>
        <v>'Data'!$C$36</v>
      </c>
      <c r="D65" s="193" t="str">
        <f t="shared" si="1"/>
        <v>Click Here</v>
      </c>
      <c r="E65" s="210" t="s">
        <v>560</v>
      </c>
    </row>
    <row r="66" spans="2:5" ht="9.75" outlineLevel="1">
      <c r="B66" s="1" t="s">
        <v>372</v>
      </c>
      <c r="C66" s="1" t="str">
        <f ca="1" t="shared" si="0"/>
        <v>'Data'!$C$37</v>
      </c>
      <c r="D66" s="193" t="str">
        <f t="shared" si="1"/>
        <v>Click Here</v>
      </c>
      <c r="E66" s="210" t="s">
        <v>561</v>
      </c>
    </row>
    <row r="67" spans="2:5" ht="9.75" outlineLevel="1">
      <c r="B67" s="1" t="s">
        <v>373</v>
      </c>
      <c r="C67" s="1" t="str">
        <f ca="1" t="shared" si="0"/>
        <v>'Data'!$C$38</v>
      </c>
      <c r="D67" s="193" t="str">
        <f t="shared" si="1"/>
        <v>Click Here</v>
      </c>
      <c r="E67" s="210" t="s">
        <v>562</v>
      </c>
    </row>
    <row r="68" spans="2:5" ht="9.75" outlineLevel="1">
      <c r="B68" s="1" t="s">
        <v>374</v>
      </c>
      <c r="C68" s="1" t="str">
        <f ca="1" t="shared" si="0"/>
        <v>'Data'!$C$39</v>
      </c>
      <c r="D68" s="193" t="str">
        <f t="shared" si="1"/>
        <v>Click Here</v>
      </c>
      <c r="E68" s="210" t="s">
        <v>563</v>
      </c>
    </row>
    <row r="69" spans="2:5" ht="9.75" outlineLevel="1">
      <c r="B69" s="1" t="s">
        <v>376</v>
      </c>
      <c r="C69" s="1" t="str">
        <f ca="1" t="shared" si="0"/>
        <v>'Data'!$C$40</v>
      </c>
      <c r="D69" s="193" t="str">
        <f t="shared" si="1"/>
        <v>Click Here</v>
      </c>
      <c r="E69" s="210" t="s">
        <v>564</v>
      </c>
    </row>
    <row r="70" spans="2:5" ht="9.75" outlineLevel="1">
      <c r="B70" s="1" t="s">
        <v>377</v>
      </c>
      <c r="C70" s="1" t="str">
        <f ca="1" t="shared" si="0"/>
        <v>'Data'!$C$41</v>
      </c>
      <c r="D70" s="193" t="str">
        <f t="shared" si="1"/>
        <v>Click Here</v>
      </c>
      <c r="E70" s="210" t="s">
        <v>565</v>
      </c>
    </row>
    <row r="71" spans="2:5" ht="9.75" outlineLevel="1">
      <c r="B71" s="1" t="s">
        <v>378</v>
      </c>
      <c r="C71" s="1" t="str">
        <f ca="1" t="shared" si="0"/>
        <v>'Data'!$C$42</v>
      </c>
      <c r="D71" s="193" t="str">
        <f t="shared" si="1"/>
        <v>Click Here</v>
      </c>
      <c r="E71" s="210" t="s">
        <v>566</v>
      </c>
    </row>
    <row r="72" spans="2:5" ht="9.75" outlineLevel="1">
      <c r="B72" s="1" t="s">
        <v>63</v>
      </c>
      <c r="C72" s="1" t="str">
        <f ca="1" t="shared" si="0"/>
        <v>'Data'!$C$33</v>
      </c>
      <c r="D72" s="193" t="str">
        <f t="shared" si="1"/>
        <v>Click Here</v>
      </c>
      <c r="E72" s="210" t="s">
        <v>567</v>
      </c>
    </row>
    <row r="73" spans="2:5" ht="9.75" outlineLevel="1">
      <c r="B73" s="1" t="s">
        <v>379</v>
      </c>
      <c r="C73" s="1" t="str">
        <f ca="1" t="shared" si="0"/>
        <v>'Data'!$B$43</v>
      </c>
      <c r="D73" s="193" t="str">
        <f t="shared" si="1"/>
        <v>Click Here</v>
      </c>
      <c r="E73" s="210" t="s">
        <v>568</v>
      </c>
    </row>
    <row r="74" spans="2:5" ht="9.75" outlineLevel="1">
      <c r="B74" s="1" t="s">
        <v>134</v>
      </c>
      <c r="C74" s="1" t="str">
        <f ca="1" t="shared" si="0"/>
        <v>'Data'!$F$35</v>
      </c>
      <c r="D74" s="193" t="str">
        <f t="shared" si="1"/>
        <v>Click Here</v>
      </c>
      <c r="E74" s="210" t="s">
        <v>569</v>
      </c>
    </row>
    <row r="75" spans="2:5" ht="9.75" outlineLevel="1">
      <c r="B75" s="1" t="s">
        <v>380</v>
      </c>
      <c r="C75" s="1" t="str">
        <f ca="1" t="shared" si="0"/>
        <v>'Data'!$C$34</v>
      </c>
      <c r="D75" s="193" t="str">
        <f t="shared" si="1"/>
        <v>Click Here</v>
      </c>
      <c r="E75" s="210" t="s">
        <v>570</v>
      </c>
    </row>
    <row r="76" spans="2:5" ht="9.75" outlineLevel="1">
      <c r="B76" s="1" t="s">
        <v>381</v>
      </c>
      <c r="C76" s="1" t="str">
        <f ca="1" t="shared" si="0"/>
        <v>'Switching'!$V$7</v>
      </c>
      <c r="D76" s="193" t="str">
        <f t="shared" si="1"/>
        <v>Click Here</v>
      </c>
      <c r="E76" s="210" t="s">
        <v>571</v>
      </c>
    </row>
    <row r="77" spans="2:5" ht="9.75" outlineLevel="1">
      <c r="B77" s="1" t="s">
        <v>382</v>
      </c>
      <c r="C77" s="1" t="str">
        <f ca="1" t="shared" si="0"/>
        <v>'Switching'!$V$7</v>
      </c>
      <c r="D77" s="193" t="str">
        <f t="shared" si="1"/>
        <v>Click Here</v>
      </c>
      <c r="E77" s="210" t="s">
        <v>572</v>
      </c>
    </row>
    <row r="78" spans="2:5" ht="9.75" outlineLevel="1">
      <c r="B78" s="1" t="s">
        <v>383</v>
      </c>
      <c r="C78" s="1" t="str">
        <f ca="1" t="shared" si="0"/>
        <v>'Switching'!$AF$8</v>
      </c>
      <c r="D78" s="193" t="str">
        <f t="shared" si="1"/>
        <v>Click Here</v>
      </c>
      <c r="E78" s="210" t="s">
        <v>573</v>
      </c>
    </row>
    <row r="79" spans="2:5" ht="9.75" outlineLevel="1">
      <c r="B79" s="1" t="s">
        <v>384</v>
      </c>
      <c r="C79" s="1" t="str">
        <f ca="1" t="shared" si="0"/>
        <v>'Switching'!$AF$7</v>
      </c>
      <c r="D79" s="193" t="str">
        <f t="shared" si="1"/>
        <v>Click Here</v>
      </c>
      <c r="E79" s="210" t="s">
        <v>574</v>
      </c>
    </row>
    <row r="80" spans="2:5" ht="9.75" outlineLevel="1">
      <c r="B80" s="1" t="s">
        <v>385</v>
      </c>
      <c r="C80" s="1" t="str">
        <f ca="1" t="shared" si="0"/>
        <v>'Switching'!$AQ$8</v>
      </c>
      <c r="D80" s="193" t="str">
        <f t="shared" si="1"/>
        <v>Click Here</v>
      </c>
      <c r="E80" s="210" t="s">
        <v>575</v>
      </c>
    </row>
    <row r="81" spans="2:5" ht="9.75" outlineLevel="1">
      <c r="B81" s="1" t="s">
        <v>386</v>
      </c>
      <c r="C81" s="1" t="str">
        <f ca="1" t="shared" si="0"/>
        <v>'Switching'!$AQ$7</v>
      </c>
      <c r="D81" s="193" t="str">
        <f t="shared" si="1"/>
        <v>Click Here</v>
      </c>
      <c r="E81" s="210" t="s">
        <v>576</v>
      </c>
    </row>
    <row r="82" spans="2:5" ht="9.75" outlineLevel="1">
      <c r="B82" s="1" t="s">
        <v>136</v>
      </c>
      <c r="C82" s="1" t="str">
        <f ca="1" t="shared" si="0"/>
        <v>'Data'!$D$35</v>
      </c>
      <c r="D82" s="193" t="str">
        <f t="shared" si="1"/>
        <v>Click Here</v>
      </c>
      <c r="E82" s="210" t="s">
        <v>501</v>
      </c>
    </row>
    <row r="83" spans="2:5" ht="9.75" outlineLevel="1">
      <c r="B83" s="1" t="s">
        <v>137</v>
      </c>
      <c r="C83" s="1" t="str">
        <f ca="1" t="shared" si="0"/>
        <v>'Data'!$G$35</v>
      </c>
      <c r="D83" s="193" t="str">
        <f t="shared" si="1"/>
        <v>Click Here</v>
      </c>
      <c r="E83" s="210" t="s">
        <v>500</v>
      </c>
    </row>
    <row r="84" spans="2:5" ht="9.75" outlineLevel="1">
      <c r="B84" s="1" t="s">
        <v>135</v>
      </c>
      <c r="C84" s="1" t="str">
        <f ca="1" t="shared" si="0"/>
        <v>'Data'!$E$35</v>
      </c>
      <c r="D84" s="193" t="str">
        <f t="shared" si="1"/>
        <v>Click Here</v>
      </c>
      <c r="E84" s="210" t="s">
        <v>502</v>
      </c>
    </row>
    <row r="85" spans="2:5" ht="9.75" outlineLevel="1">
      <c r="B85" s="1" t="s">
        <v>594</v>
      </c>
      <c r="C85" s="1" t="str">
        <f ca="1" t="shared" si="0"/>
        <v>'Data'!$B$29</v>
      </c>
      <c r="D85" s="193" t="str">
        <f t="shared" si="1"/>
        <v>Click Here</v>
      </c>
      <c r="E85" s="210" t="s">
        <v>178</v>
      </c>
    </row>
    <row r="86" spans="2:5" ht="9.75" outlineLevel="1">
      <c r="B86" s="1" t="s">
        <v>587</v>
      </c>
      <c r="C86" s="1" t="str">
        <f ca="1">SUBSTITUTE(CELL("Address",INDIRECT(B86)),workbookname,"")</f>
        <v>'Data'!$C$24</v>
      </c>
      <c r="D86" s="193" t="str">
        <f>HYPERLINK(CONCATENATE(workbookname,B86),"Click Here")</f>
        <v>Click Here</v>
      </c>
      <c r="E86" s="210" t="s">
        <v>503</v>
      </c>
    </row>
    <row r="87" spans="2:5" ht="9.75" outlineLevel="1">
      <c r="B87" s="1" t="s">
        <v>321</v>
      </c>
      <c r="C87" s="1" t="str">
        <f ca="1">SUBSTITUTE(CELL("Address",INDIRECT(B87)),workbookname,"")</f>
        <v>'Data'!$C$18</v>
      </c>
      <c r="D87" s="193" t="str">
        <f>HYPERLINK(CONCATENATE(workbookname,B87),"Click Here")</f>
        <v>Click Here</v>
      </c>
      <c r="E87" s="210" t="s">
        <v>505</v>
      </c>
    </row>
    <row r="88" spans="2:5" ht="9.75" outlineLevel="1">
      <c r="B88" s="1" t="s">
        <v>579</v>
      </c>
      <c r="C88" s="1" t="str">
        <f ca="1">SUBSTITUTE(CELL("Address",INDIRECT(B88)),workbookname,"")</f>
        <v>'Data'!$C$19</v>
      </c>
      <c r="D88" s="193" t="str">
        <f>HYPERLINK(CONCATENATE(workbookname,B88),"Click Here")</f>
        <v>Click Here</v>
      </c>
      <c r="E88" s="210" t="s">
        <v>504</v>
      </c>
    </row>
    <row r="89" spans="2:5" ht="9.75" outlineLevel="1">
      <c r="B89" s="1" t="s">
        <v>602</v>
      </c>
      <c r="C89" s="1" t="str">
        <f aca="true" ca="1" t="shared" si="2" ref="C89:C107">SUBSTITUTE(CELL("Address",INDIRECT(B89)),workbookname,"")</f>
        <v>'Data'!$C$54</v>
      </c>
      <c r="D89" s="193" t="str">
        <f aca="true" t="shared" si="3" ref="D89:D107">HYPERLINK(CONCATENATE(workbookname,B89),"Click Here")</f>
        <v>Click Here</v>
      </c>
      <c r="E89" s="210" t="s">
        <v>506</v>
      </c>
    </row>
    <row r="90" spans="2:5" ht="9.75" outlineLevel="1">
      <c r="B90" s="1" t="s">
        <v>620</v>
      </c>
      <c r="C90" s="1" t="str">
        <f ca="1" t="shared" si="2"/>
        <v>'Data'!$C$63</v>
      </c>
      <c r="D90" s="193" t="str">
        <f t="shared" si="3"/>
        <v>Click Here</v>
      </c>
      <c r="E90" s="210" t="s">
        <v>507</v>
      </c>
    </row>
    <row r="91" spans="2:5" ht="9.75" outlineLevel="1">
      <c r="B91" s="1" t="s">
        <v>622</v>
      </c>
      <c r="C91" s="1" t="str">
        <f ca="1" t="shared" si="2"/>
        <v>'Data'!$C$64</v>
      </c>
      <c r="D91" s="193" t="str">
        <f t="shared" si="3"/>
        <v>Click Here</v>
      </c>
      <c r="E91" s="210" t="s">
        <v>508</v>
      </c>
    </row>
    <row r="92" spans="2:5" ht="9.75" outlineLevel="1">
      <c r="B92" s="1" t="s">
        <v>625</v>
      </c>
      <c r="C92" s="1" t="str">
        <f ca="1" t="shared" si="2"/>
        <v>'Data'!$C$65</v>
      </c>
      <c r="D92" s="193" t="str">
        <f t="shared" si="3"/>
        <v>Click Here</v>
      </c>
      <c r="E92" s="210" t="s">
        <v>509</v>
      </c>
    </row>
    <row r="93" spans="2:5" ht="9.75" outlineLevel="1">
      <c r="B93" s="1" t="s">
        <v>627</v>
      </c>
      <c r="C93" s="1" t="str">
        <f ca="1" t="shared" si="2"/>
        <v>'Data'!$C$66</v>
      </c>
      <c r="D93" s="193" t="str">
        <f t="shared" si="3"/>
        <v>Click Here</v>
      </c>
      <c r="E93" s="210" t="s">
        <v>510</v>
      </c>
    </row>
    <row r="94" spans="2:5" ht="9.75" outlineLevel="1">
      <c r="B94" s="1" t="s">
        <v>629</v>
      </c>
      <c r="C94" s="1" t="str">
        <f ca="1" t="shared" si="2"/>
        <v>'Data'!$C$67</v>
      </c>
      <c r="D94" s="193" t="str">
        <f t="shared" si="3"/>
        <v>Click Here</v>
      </c>
      <c r="E94" s="210" t="s">
        <v>511</v>
      </c>
    </row>
    <row r="95" spans="2:5" ht="9.75" outlineLevel="1">
      <c r="B95" s="1" t="s">
        <v>631</v>
      </c>
      <c r="C95" s="1" t="str">
        <f ca="1" t="shared" si="2"/>
        <v>'Data'!$C$68</v>
      </c>
      <c r="D95" s="193" t="str">
        <f t="shared" si="3"/>
        <v>Click Here</v>
      </c>
      <c r="E95" s="210" t="s">
        <v>512</v>
      </c>
    </row>
    <row r="96" spans="2:5" ht="9.75" outlineLevel="1">
      <c r="B96" s="1" t="s">
        <v>633</v>
      </c>
      <c r="C96" s="1" t="str">
        <f ca="1" t="shared" si="2"/>
        <v>'Data'!$C$69</v>
      </c>
      <c r="D96" s="193" t="str">
        <f t="shared" si="3"/>
        <v>Click Here</v>
      </c>
      <c r="E96" s="210" t="s">
        <v>513</v>
      </c>
    </row>
    <row r="97" spans="2:5" ht="9.75" outlineLevel="1">
      <c r="B97" s="1" t="s">
        <v>635</v>
      </c>
      <c r="C97" s="1" t="str">
        <f ca="1" t="shared" si="2"/>
        <v>'Data'!$C$70</v>
      </c>
      <c r="D97" s="193" t="str">
        <f t="shared" si="3"/>
        <v>Click Here</v>
      </c>
      <c r="E97" s="210" t="s">
        <v>514</v>
      </c>
    </row>
    <row r="98" spans="2:5" ht="9.75" outlineLevel="1">
      <c r="B98" s="1" t="s">
        <v>638</v>
      </c>
      <c r="C98" s="1" t="str">
        <f ca="1" t="shared" si="2"/>
        <v>'Data'!$C$71</v>
      </c>
      <c r="D98" s="193" t="str">
        <f t="shared" si="3"/>
        <v>Click Here</v>
      </c>
      <c r="E98" s="210" t="s">
        <v>515</v>
      </c>
    </row>
    <row r="99" spans="2:5" ht="9.75" outlineLevel="1">
      <c r="B99" s="1" t="s">
        <v>641</v>
      </c>
      <c r="C99" s="1" t="str">
        <f ca="1" t="shared" si="2"/>
        <v>'Data'!$C$72</v>
      </c>
      <c r="D99" s="193" t="str">
        <f t="shared" si="3"/>
        <v>Click Here</v>
      </c>
      <c r="E99" s="210" t="s">
        <v>516</v>
      </c>
    </row>
    <row r="100" spans="2:5" ht="9.75" outlineLevel="1">
      <c r="B100" s="1" t="s">
        <v>604</v>
      </c>
      <c r="C100" s="1" t="str">
        <f ca="1" t="shared" si="2"/>
        <v>'Data'!$C$55</v>
      </c>
      <c r="D100" s="193" t="str">
        <f t="shared" si="3"/>
        <v>Click Here</v>
      </c>
      <c r="E100" s="210" t="s">
        <v>518</v>
      </c>
    </row>
    <row r="101" spans="2:5" ht="9.75" outlineLevel="1">
      <c r="B101" s="1" t="s">
        <v>644</v>
      </c>
      <c r="C101" s="1" t="str">
        <f ca="1" t="shared" si="2"/>
        <v>'Data'!$C$73</v>
      </c>
      <c r="D101" s="193" t="str">
        <f t="shared" si="3"/>
        <v>Click Here</v>
      </c>
      <c r="E101" s="210" t="s">
        <v>517</v>
      </c>
    </row>
    <row r="102" spans="2:5" ht="9.75" outlineLevel="1">
      <c r="B102" s="1" t="s">
        <v>606</v>
      </c>
      <c r="C102" s="1" t="str">
        <f ca="1" t="shared" si="2"/>
        <v>'Data'!$C$56</v>
      </c>
      <c r="D102" s="193" t="str">
        <f t="shared" si="3"/>
        <v>Click Here</v>
      </c>
      <c r="E102" s="210" t="s">
        <v>519</v>
      </c>
    </row>
    <row r="103" spans="2:5" ht="9.75" outlineLevel="1">
      <c r="B103" s="1" t="s">
        <v>608</v>
      </c>
      <c r="C103" s="1" t="str">
        <f ca="1" t="shared" si="2"/>
        <v>'Data'!$C$57</v>
      </c>
      <c r="D103" s="193" t="str">
        <f t="shared" si="3"/>
        <v>Click Here</v>
      </c>
      <c r="E103" s="210" t="s">
        <v>520</v>
      </c>
    </row>
    <row r="104" spans="2:5" ht="9.75" outlineLevel="1">
      <c r="B104" s="1" t="s">
        <v>610</v>
      </c>
      <c r="C104" s="1" t="str">
        <f ca="1" t="shared" si="2"/>
        <v>'Data'!$C$58</v>
      </c>
      <c r="D104" s="193" t="str">
        <f t="shared" si="3"/>
        <v>Click Here</v>
      </c>
      <c r="E104" s="210" t="s">
        <v>521</v>
      </c>
    </row>
    <row r="105" spans="2:5" ht="9.75" outlineLevel="1">
      <c r="B105" s="1" t="s">
        <v>612</v>
      </c>
      <c r="C105" s="1" t="str">
        <f ca="1" t="shared" si="2"/>
        <v>'Data'!$C$59</v>
      </c>
      <c r="D105" s="193" t="str">
        <f t="shared" si="3"/>
        <v>Click Here</v>
      </c>
      <c r="E105" s="210" t="s">
        <v>522</v>
      </c>
    </row>
    <row r="106" spans="2:5" ht="9.75" outlineLevel="1">
      <c r="B106" s="1" t="s">
        <v>614</v>
      </c>
      <c r="C106" s="1" t="str">
        <f ca="1" t="shared" si="2"/>
        <v>'Data'!$C$60</v>
      </c>
      <c r="D106" s="193" t="str">
        <f t="shared" si="3"/>
        <v>Click Here</v>
      </c>
      <c r="E106" s="210" t="s">
        <v>523</v>
      </c>
    </row>
    <row r="107" spans="2:5" ht="9.75" outlineLevel="1">
      <c r="B107" s="1" t="s">
        <v>616</v>
      </c>
      <c r="C107" s="1" t="str">
        <f ca="1" t="shared" si="2"/>
        <v>'Data'!$C$61</v>
      </c>
      <c r="D107" s="193" t="str">
        <f t="shared" si="3"/>
        <v>Click Here</v>
      </c>
      <c r="E107" s="210" t="s">
        <v>524</v>
      </c>
    </row>
    <row r="108" spans="2:5" ht="9.75" outlineLevel="1">
      <c r="B108" s="1" t="s">
        <v>618</v>
      </c>
      <c r="C108" s="1" t="str">
        <f aca="true" ca="1" t="shared" si="4" ref="C108:C139">SUBSTITUTE(CELL("Address",INDIRECT(B108)),workbookname,"")</f>
        <v>'Data'!$C$62</v>
      </c>
      <c r="D108" s="193" t="str">
        <f aca="true" t="shared" si="5" ref="D108:D141">HYPERLINK(CONCATENATE(workbookname,B108),"Click Here")</f>
        <v>Click Here</v>
      </c>
      <c r="E108" s="210" t="s">
        <v>525</v>
      </c>
    </row>
    <row r="109" spans="2:5" ht="9.75" outlineLevel="1">
      <c r="B109" s="1" t="s">
        <v>387</v>
      </c>
      <c r="C109" s="1" t="str">
        <f ca="1" t="shared" si="4"/>
        <v>'Rail Assets'!$H$8</v>
      </c>
      <c r="D109" s="193" t="str">
        <f t="shared" si="5"/>
        <v>Click Here</v>
      </c>
      <c r="E109" s="210" t="s">
        <v>433</v>
      </c>
    </row>
    <row r="110" spans="2:5" ht="9.75" outlineLevel="1">
      <c r="B110" s="1" t="s">
        <v>388</v>
      </c>
      <c r="C110" s="1" t="str">
        <f ca="1" t="shared" si="4"/>
        <v>'Rail Assets'!$B$7</v>
      </c>
      <c r="D110" s="193" t="str">
        <f t="shared" si="5"/>
        <v>Click Here</v>
      </c>
      <c r="E110" s="210" t="s">
        <v>434</v>
      </c>
    </row>
    <row r="111" spans="2:5" ht="9.75" outlineLevel="1">
      <c r="B111" s="1" t="s">
        <v>389</v>
      </c>
      <c r="C111" s="1" t="str">
        <f ca="1" t="shared" si="4"/>
        <v>'Rail Assets'!$B$8</v>
      </c>
      <c r="D111" s="193" t="str">
        <f t="shared" si="5"/>
        <v>Click Here</v>
      </c>
      <c r="E111" s="210" t="s">
        <v>435</v>
      </c>
    </row>
    <row r="112" spans="2:5" ht="9.75" outlineLevel="1">
      <c r="B112" s="1" t="s">
        <v>79</v>
      </c>
      <c r="C112" s="1" t="str">
        <f ca="1" t="shared" si="4"/>
        <v>'Data'!$H$111</v>
      </c>
      <c r="D112" s="193" t="str">
        <f t="shared" si="5"/>
        <v>Click Here</v>
      </c>
      <c r="E112" s="210" t="s">
        <v>436</v>
      </c>
    </row>
    <row r="113" spans="2:5" ht="9.75" outlineLevel="1">
      <c r="B113" s="1" t="s">
        <v>656</v>
      </c>
      <c r="C113" s="1" t="str">
        <f ca="1" t="shared" si="4"/>
        <v>'Data'!$E$111</v>
      </c>
      <c r="D113" s="193" t="str">
        <f t="shared" si="5"/>
        <v>Click Here</v>
      </c>
      <c r="E113" s="210" t="s">
        <v>437</v>
      </c>
    </row>
    <row r="114" spans="2:5" ht="9.75" outlineLevel="1">
      <c r="B114" s="1" t="s">
        <v>655</v>
      </c>
      <c r="C114" s="1" t="str">
        <f ca="1" t="shared" si="4"/>
        <v>'Data'!$C$111</v>
      </c>
      <c r="D114" s="193" t="str">
        <f t="shared" si="5"/>
        <v>Click Here</v>
      </c>
      <c r="E114" s="210" t="s">
        <v>438</v>
      </c>
    </row>
    <row r="115" spans="2:5" ht="9.75" outlineLevel="1">
      <c r="B115" s="1" t="s">
        <v>78</v>
      </c>
      <c r="C115" s="1" t="str">
        <f ca="1" t="shared" si="4"/>
        <v>'Data'!$D$111</v>
      </c>
      <c r="D115" s="193" t="str">
        <f t="shared" si="5"/>
        <v>Click Here</v>
      </c>
      <c r="E115" s="210" t="s">
        <v>439</v>
      </c>
    </row>
    <row r="116" spans="2:5" ht="9.75" outlineLevel="1">
      <c r="B116" s="1" t="s">
        <v>390</v>
      </c>
      <c r="C116" s="1" t="str">
        <f ca="1" t="shared" si="4"/>
        <v>'Data'!$B$91</v>
      </c>
      <c r="D116" s="193" t="str">
        <f t="shared" si="5"/>
        <v>Click Here</v>
      </c>
      <c r="E116" s="210" t="s">
        <v>440</v>
      </c>
    </row>
    <row r="117" spans="2:5" ht="9.75" outlineLevel="1">
      <c r="B117" s="1" t="s">
        <v>74</v>
      </c>
      <c r="C117" s="1" t="str">
        <f ca="1" t="shared" si="4"/>
        <v>'Data'!$C$92</v>
      </c>
      <c r="D117" s="193" t="str">
        <f t="shared" si="5"/>
        <v>Click Here</v>
      </c>
      <c r="E117" s="210" t="s">
        <v>441</v>
      </c>
    </row>
    <row r="118" spans="2:5" ht="9.75" outlineLevel="1">
      <c r="B118" s="1" t="s">
        <v>653</v>
      </c>
      <c r="C118" s="1" t="str">
        <f ca="1" t="shared" si="4"/>
        <v>'Data'!$B$92</v>
      </c>
      <c r="D118" s="193" t="str">
        <f t="shared" si="5"/>
        <v>Click Here</v>
      </c>
      <c r="E118" s="210" t="s">
        <v>442</v>
      </c>
    </row>
    <row r="119" spans="2:5" ht="9.75" outlineLevel="1">
      <c r="B119" s="1" t="s">
        <v>75</v>
      </c>
      <c r="C119" s="1" t="str">
        <f ca="1" t="shared" si="4"/>
        <v>'Data'!$D$92</v>
      </c>
      <c r="D119" s="193" t="str">
        <f t="shared" si="5"/>
        <v>Click Here</v>
      </c>
      <c r="E119" s="210" t="s">
        <v>443</v>
      </c>
    </row>
    <row r="120" spans="2:5" ht="9.75" outlineLevel="1">
      <c r="B120" s="1" t="s">
        <v>99</v>
      </c>
      <c r="C120" s="1" t="str">
        <f ca="1" t="shared" si="4"/>
        <v>'Data'!$H$92</v>
      </c>
      <c r="D120" s="193" t="str">
        <f t="shared" si="5"/>
        <v>Click Here</v>
      </c>
      <c r="E120" s="210" t="s">
        <v>444</v>
      </c>
    </row>
    <row r="121" spans="2:5" ht="9.75" outlineLevel="1">
      <c r="B121" s="1" t="s">
        <v>76</v>
      </c>
      <c r="C121" s="1" t="str">
        <f ca="1" t="shared" si="4"/>
        <v>'Data'!$F$92</v>
      </c>
      <c r="D121" s="193" t="str">
        <f t="shared" si="5"/>
        <v>Click Here</v>
      </c>
      <c r="E121" s="210" t="s">
        <v>419</v>
      </c>
    </row>
    <row r="122" spans="2:5" ht="9.75" outlineLevel="1">
      <c r="B122" s="1" t="s">
        <v>391</v>
      </c>
      <c r="C122" s="1" t="str">
        <f ca="1" t="shared" si="4"/>
        <v>'Data'!$C$87</v>
      </c>
      <c r="D122" s="193" t="str">
        <f t="shared" si="5"/>
        <v>Click Here</v>
      </c>
      <c r="E122" s="210" t="s">
        <v>420</v>
      </c>
    </row>
    <row r="123" spans="2:5" ht="9.75" outlineLevel="1">
      <c r="B123" s="1" t="s">
        <v>95</v>
      </c>
      <c r="C123" s="1" t="str">
        <f ca="1" t="shared" si="4"/>
        <v>'Data'!$C$81</v>
      </c>
      <c r="D123" s="193" t="str">
        <f t="shared" si="5"/>
        <v>Click Here</v>
      </c>
      <c r="E123" s="210" t="s">
        <v>421</v>
      </c>
    </row>
    <row r="124" spans="2:5" ht="9.75" outlineLevel="1">
      <c r="B124" s="1" t="s">
        <v>392</v>
      </c>
      <c r="C124" s="1" t="str">
        <f ca="1" t="shared" si="4"/>
        <v>'Data'!$C$54</v>
      </c>
      <c r="D124" s="193" t="str">
        <f t="shared" si="5"/>
        <v>Click Here</v>
      </c>
      <c r="E124" s="210" t="s">
        <v>454</v>
      </c>
    </row>
    <row r="125" spans="2:5" ht="9.75" outlineLevel="1">
      <c r="B125" s="1" t="s">
        <v>393</v>
      </c>
      <c r="C125" s="1" t="str">
        <f ca="1" t="shared" si="4"/>
        <v>'Rail Assets'!$I$8</v>
      </c>
      <c r="D125" s="193" t="str">
        <f t="shared" si="5"/>
        <v>Click Here</v>
      </c>
      <c r="E125" s="210" t="s">
        <v>445</v>
      </c>
    </row>
    <row r="126" spans="2:5" ht="9.75" outlineLevel="1">
      <c r="B126" s="1" t="s">
        <v>647</v>
      </c>
      <c r="C126" s="1" t="str">
        <f ca="1" t="shared" si="4"/>
        <v>'Data'!$E$74</v>
      </c>
      <c r="D126" s="193" t="str">
        <f t="shared" si="5"/>
        <v>Click Here</v>
      </c>
      <c r="E126" s="210" t="s">
        <v>455</v>
      </c>
    </row>
    <row r="127" spans="2:5" ht="9.75" outlineLevel="1">
      <c r="B127" s="1" t="s">
        <v>394</v>
      </c>
      <c r="C127" s="1" t="str">
        <f ca="1" t="shared" si="4"/>
        <v>'Data'!$C$52</v>
      </c>
      <c r="D127" s="193" t="str">
        <f t="shared" si="5"/>
        <v>Click Here</v>
      </c>
      <c r="E127" s="210" t="s">
        <v>446</v>
      </c>
    </row>
    <row r="128" spans="2:5" ht="9.75" outlineLevel="1">
      <c r="B128" s="1" t="s">
        <v>395</v>
      </c>
      <c r="C128" s="1" t="str">
        <f ca="1" t="shared" si="4"/>
        <v>'Rail Assets'!$F$8</v>
      </c>
      <c r="D128" s="193" t="str">
        <f t="shared" si="5"/>
        <v>Click Here</v>
      </c>
      <c r="E128" s="210" t="s">
        <v>447</v>
      </c>
    </row>
    <row r="129" spans="2:5" ht="9.75" outlineLevel="1">
      <c r="B129" s="1" t="s">
        <v>533</v>
      </c>
      <c r="C129" s="1" t="str">
        <f ca="1" t="shared" si="4"/>
        <v>'Data'!$C$86</v>
      </c>
      <c r="D129" s="193" t="str">
        <f t="shared" si="5"/>
        <v>Click Here</v>
      </c>
      <c r="E129" s="210" t="s">
        <v>422</v>
      </c>
    </row>
    <row r="130" spans="2:5" ht="9.75" outlineLevel="1">
      <c r="B130" s="1" t="s">
        <v>66</v>
      </c>
      <c r="C130" s="1" t="str">
        <f ca="1" t="shared" si="4"/>
        <v>'Data'!$B$84</v>
      </c>
      <c r="D130" s="193" t="str">
        <f t="shared" si="5"/>
        <v>Click Here</v>
      </c>
      <c r="E130" s="210" t="s">
        <v>448</v>
      </c>
    </row>
    <row r="131" spans="2:5" ht="9.75" outlineLevel="1">
      <c r="B131" s="1" t="s">
        <v>534</v>
      </c>
      <c r="C131" s="1" t="str">
        <f ca="1" t="shared" si="4"/>
        <v>'Data'!$B$84</v>
      </c>
      <c r="D131" s="193" t="str">
        <f t="shared" si="5"/>
        <v>Click Here</v>
      </c>
      <c r="E131" s="210" t="s">
        <v>449</v>
      </c>
    </row>
    <row r="132" spans="2:5" ht="9.75" outlineLevel="1">
      <c r="B132" s="1" t="s">
        <v>648</v>
      </c>
      <c r="C132" s="1" t="str">
        <f ca="1" t="shared" si="4"/>
        <v>'Data'!$D$74</v>
      </c>
      <c r="D132" s="193" t="str">
        <f t="shared" si="5"/>
        <v>Click Here</v>
      </c>
      <c r="E132" s="210" t="s">
        <v>179</v>
      </c>
    </row>
    <row r="133" spans="2:5" ht="9.75" outlineLevel="1">
      <c r="B133" s="1" t="s">
        <v>535</v>
      </c>
      <c r="C133" s="1" t="str">
        <f ca="1" t="shared" si="4"/>
        <v>'Switching'!$L$7</v>
      </c>
      <c r="D133" s="193" t="str">
        <f t="shared" si="5"/>
        <v>Click Here</v>
      </c>
      <c r="E133" s="210" t="s">
        <v>450</v>
      </c>
    </row>
    <row r="134" spans="2:5" ht="9.75" outlineLevel="1">
      <c r="B134" s="1" t="s">
        <v>536</v>
      </c>
      <c r="C134" s="1" t="str">
        <f ca="1" t="shared" si="4"/>
        <v>'Switching'!$L$7</v>
      </c>
      <c r="D134" s="193" t="str">
        <f t="shared" si="5"/>
        <v>Click Here</v>
      </c>
      <c r="E134" s="210" t="s">
        <v>451</v>
      </c>
    </row>
    <row r="135" spans="2:5" ht="9.75" outlineLevel="1">
      <c r="B135" s="1" t="s">
        <v>91</v>
      </c>
      <c r="C135" s="1" t="str">
        <f ca="1" t="shared" si="4"/>
        <v>'Rail Asset Calcs'!$C$31</v>
      </c>
      <c r="D135" s="193" t="str">
        <f t="shared" si="5"/>
        <v>Click Here</v>
      </c>
      <c r="E135" s="210" t="s">
        <v>452</v>
      </c>
    </row>
    <row r="136" spans="2:5" ht="9.75" outlineLevel="1">
      <c r="B136" s="1" t="s">
        <v>92</v>
      </c>
      <c r="C136" s="1" t="str">
        <f ca="1" t="shared" si="4"/>
        <v>'Rail Asset Calcs'!$D$31</v>
      </c>
      <c r="D136" s="193" t="str">
        <f t="shared" si="5"/>
        <v>Click Here</v>
      </c>
      <c r="E136" s="210" t="s">
        <v>453</v>
      </c>
    </row>
    <row r="137" spans="2:5" ht="9.75" outlineLevel="1">
      <c r="B137" s="1" t="s">
        <v>581</v>
      </c>
      <c r="C137" s="1" t="str">
        <f ca="1" t="shared" si="4"/>
        <v>'Data'!$C$21</v>
      </c>
      <c r="D137" s="193" t="str">
        <f t="shared" si="5"/>
        <v>Click Here</v>
      </c>
      <c r="E137" s="210" t="s">
        <v>456</v>
      </c>
    </row>
    <row r="138" spans="2:5" ht="9.75" outlineLevel="1">
      <c r="B138" s="1" t="s">
        <v>585</v>
      </c>
      <c r="C138" s="1" t="str">
        <f ca="1" t="shared" si="4"/>
        <v>'Data'!$C$23</v>
      </c>
      <c r="D138" s="193" t="str">
        <f t="shared" si="5"/>
        <v>Click Here</v>
      </c>
      <c r="E138" s="210" t="s">
        <v>457</v>
      </c>
    </row>
    <row r="139" spans="2:5" ht="9.75" outlineLevel="1">
      <c r="B139" s="1" t="s">
        <v>583</v>
      </c>
      <c r="C139" s="1" t="str">
        <f ca="1" t="shared" si="4"/>
        <v>'Data'!$C$22</v>
      </c>
      <c r="D139" s="193" t="str">
        <f t="shared" si="5"/>
        <v>Click Here</v>
      </c>
      <c r="E139" s="210" t="s">
        <v>460</v>
      </c>
    </row>
    <row r="140" spans="2:5" ht="9.75" outlineLevel="1">
      <c r="B140" s="1" t="s">
        <v>589</v>
      </c>
      <c r="C140" s="1" t="str">
        <f ca="1">SUBSTITUTE(CELL("Address",INDIRECT(B140)),workbookname,"")</f>
        <v>'Data'!$C$25</v>
      </c>
      <c r="D140" s="193" t="str">
        <f t="shared" si="5"/>
        <v>Click Here</v>
      </c>
      <c r="E140" s="210" t="s">
        <v>458</v>
      </c>
    </row>
    <row r="141" spans="2:5" ht="9.75" outlineLevel="1">
      <c r="B141" s="1" t="s">
        <v>538</v>
      </c>
      <c r="C141" s="1" t="str">
        <f ca="1">SUBSTITUTE(CELL("Address",INDIRECT(B141)),workbookname,"")</f>
        <v>'Data'!$C$20</v>
      </c>
      <c r="D141" s="193" t="str">
        <f t="shared" si="5"/>
        <v>Click Here</v>
      </c>
      <c r="E141" s="210" t="s">
        <v>459</v>
      </c>
    </row>
    <row r="142" ht="9.75">
      <c r="B142" s="2"/>
    </row>
    <row r="143" spans="1:2" ht="9.75">
      <c r="A143" s="198" t="str">
        <f>HYPERLINK(CONCATENATE(workbookname,"$A$5"),"Top")</f>
        <v>Top</v>
      </c>
      <c r="B143" s="2" t="str">
        <f>Contents!B17</f>
        <v>Disclaimer</v>
      </c>
    </row>
    <row r="144" ht="9.75" outlineLevel="1">
      <c r="B144" s="171" t="str">
        <f>Contents!D17</f>
        <v>Standard KPMG Disclaimer</v>
      </c>
    </row>
    <row r="145" ht="10.5" outlineLevel="1" thickBot="1">
      <c r="B145" s="171"/>
    </row>
    <row r="146" spans="2:5" ht="9.75" outlineLevel="1">
      <c r="B146" s="212" t="s">
        <v>127</v>
      </c>
      <c r="C146" s="48"/>
      <c r="D146" s="48"/>
      <c r="E146" s="213"/>
    </row>
    <row r="147" spans="2:5" ht="9.75" outlineLevel="1">
      <c r="B147" s="214" t="s">
        <v>133</v>
      </c>
      <c r="C147" s="33"/>
      <c r="D147" s="33"/>
      <c r="E147" s="36"/>
    </row>
    <row r="148" spans="2:5" ht="9.75" outlineLevel="1">
      <c r="B148" s="214" t="s">
        <v>132</v>
      </c>
      <c r="C148" s="33"/>
      <c r="D148" s="33"/>
      <c r="E148" s="36"/>
    </row>
    <row r="149" spans="2:5" ht="9.75" outlineLevel="1">
      <c r="B149" s="214" t="s">
        <v>128</v>
      </c>
      <c r="C149" s="33"/>
      <c r="D149" s="33"/>
      <c r="E149" s="36"/>
    </row>
    <row r="150" spans="2:5" ht="9.75" outlineLevel="1">
      <c r="B150" s="214" t="s">
        <v>129</v>
      </c>
      <c r="C150" s="33"/>
      <c r="D150" s="33"/>
      <c r="E150" s="36"/>
    </row>
    <row r="151" spans="2:5" ht="9.75" outlineLevel="1">
      <c r="B151" s="214" t="s">
        <v>130</v>
      </c>
      <c r="C151" s="33"/>
      <c r="D151" s="33"/>
      <c r="E151" s="36"/>
    </row>
    <row r="152" spans="2:5" ht="10.5" outlineLevel="1" thickBot="1">
      <c r="B152" s="215" t="s">
        <v>131</v>
      </c>
      <c r="C152" s="54"/>
      <c r="D152" s="54"/>
      <c r="E152" s="46"/>
    </row>
    <row r="153" ht="9.75" outlineLevel="1">
      <c r="B153" s="22"/>
    </row>
    <row r="154" ht="9.75">
      <c r="B154" s="22"/>
    </row>
    <row r="155" ht="9.75">
      <c r="B155" s="22"/>
    </row>
    <row r="156" ht="9.75">
      <c r="B156" s="22"/>
    </row>
    <row r="157" ht="9.75">
      <c r="B157" s="22"/>
    </row>
    <row r="158" ht="9.75">
      <c r="B158" s="22"/>
    </row>
    <row r="159" ht="9.75">
      <c r="B159" s="22"/>
    </row>
    <row r="160" ht="9.75">
      <c r="B160" s="22"/>
    </row>
    <row r="161" ht="9.75">
      <c r="B161" s="22"/>
    </row>
    <row r="163" ht="9.75">
      <c r="B163" s="2"/>
    </row>
    <row r="164" ht="9.75">
      <c r="B164" s="22"/>
    </row>
    <row r="165" ht="9.75">
      <c r="B165" s="22"/>
    </row>
    <row r="166" ht="9.75">
      <c r="B166" s="22"/>
    </row>
    <row r="167" ht="9.75">
      <c r="B167" s="22"/>
    </row>
    <row r="168" ht="9.75">
      <c r="B168" s="22"/>
    </row>
    <row r="169" ht="9.75">
      <c r="B169" s="22"/>
    </row>
    <row r="170" ht="9.75">
      <c r="B170" s="22"/>
    </row>
    <row r="171" ht="9.75">
      <c r="B171" s="22"/>
    </row>
    <row r="172" ht="9.75">
      <c r="B172" s="22"/>
    </row>
    <row r="174" ht="9.75">
      <c r="B174" s="2"/>
    </row>
    <row r="175" ht="9.75">
      <c r="B175" s="22"/>
    </row>
    <row r="176" ht="9.75">
      <c r="B176" s="22"/>
    </row>
    <row r="177" ht="9.75">
      <c r="B177" s="22"/>
    </row>
    <row r="178" ht="9.75">
      <c r="B178" s="22"/>
    </row>
    <row r="179" ht="9.75">
      <c r="B179" s="22"/>
    </row>
    <row r="180" ht="9.75">
      <c r="B180" s="22"/>
    </row>
    <row r="181" ht="9.75">
      <c r="B181" s="22"/>
    </row>
    <row r="182" ht="9.75">
      <c r="B182" s="22"/>
    </row>
    <row r="183" ht="9.75">
      <c r="B183" s="22"/>
    </row>
  </sheetData>
  <sheetProtection sheet="1" objects="1" scenarios="1"/>
  <printOptions/>
  <pageMargins left="0.75" right="0.75" top="1" bottom="1" header="0.5" footer="0.5"/>
  <pageSetup horizontalDpi="600" verticalDpi="600" orientation="portrait" paperSize="9" r:id="rId2"/>
  <headerFooter alignWithMargins="0">
    <oddFooter>&amp;L&amp;F&amp;R&amp;P</oddFooter>
  </headerFooter>
  <drawing r:id="rId1"/>
</worksheet>
</file>

<file path=xl/worksheets/sheet4.xml><?xml version="1.0" encoding="utf-8"?>
<worksheet xmlns="http://schemas.openxmlformats.org/spreadsheetml/2006/main" xmlns:r="http://schemas.openxmlformats.org/officeDocument/2006/relationships">
  <dimension ref="A2:C14"/>
  <sheetViews>
    <sheetView zoomScale="85" zoomScaleNormal="8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39" sqref="C39"/>
    </sheetView>
  </sheetViews>
  <sheetFormatPr defaultColWidth="9.140625" defaultRowHeight="12.75"/>
  <cols>
    <col min="1" max="1" width="4.57421875" style="1" bestFit="1" customWidth="1"/>
    <col min="2" max="2" width="27.7109375" style="1" bestFit="1" customWidth="1"/>
    <col min="3" max="3" width="143.00390625" style="1" bestFit="1" customWidth="1"/>
    <col min="4" max="16384" width="9.140625" style="1" customWidth="1"/>
  </cols>
  <sheetData>
    <row r="2" spans="2:3" ht="12">
      <c r="B2" s="14" t="str">
        <f>modelname</f>
        <v>3rd Party Access Model</v>
      </c>
      <c r="C2" s="192" t="str">
        <f>HYPERLINK(Contents!$A$1,"Back to Contents Page")</f>
        <v>Back to Contents Page</v>
      </c>
    </row>
    <row r="3" spans="1:2" ht="11.25">
      <c r="A3" s="24"/>
      <c r="B3" s="190" t="s">
        <v>322</v>
      </c>
    </row>
    <row r="4" spans="2:3" ht="9.75">
      <c r="B4" s="171" t="str">
        <f>Contents!D19</f>
        <v>This sheet contains any assumptions made when constructing the model</v>
      </c>
      <c r="C4" s="171"/>
    </row>
    <row r="6" spans="2:3" ht="9.75">
      <c r="B6" s="2" t="s">
        <v>26</v>
      </c>
      <c r="C6" s="2" t="s">
        <v>27</v>
      </c>
    </row>
    <row r="7" ht="9.75">
      <c r="B7" s="2" t="str">
        <f>Contents!B20</f>
        <v>Rail Assumptions</v>
      </c>
    </row>
    <row r="8" ht="9.75">
      <c r="B8" s="171" t="str">
        <f>Contents!D20</f>
        <v>Any assumptions made in constructing the mode in regards to the rail network</v>
      </c>
    </row>
    <row r="9" spans="2:3" ht="9.75">
      <c r="B9" s="1" t="s">
        <v>29</v>
      </c>
      <c r="C9" s="1" t="s">
        <v>30</v>
      </c>
    </row>
    <row r="10" spans="2:3" ht="9.75">
      <c r="B10" s="1" t="s">
        <v>31</v>
      </c>
      <c r="C10" s="1" t="s">
        <v>32</v>
      </c>
    </row>
    <row r="12" ht="9.75">
      <c r="B12" s="2" t="str">
        <f>Contents!B21</f>
        <v>Asset Assumptions</v>
      </c>
    </row>
    <row r="13" ht="9.75">
      <c r="B13" s="171" t="str">
        <f>Contents!D21</f>
        <v>Any assumptions made in constructing the mode in regards to assets in general</v>
      </c>
    </row>
    <row r="14" spans="2:3" ht="9.75">
      <c r="B14" s="1" t="s">
        <v>34</v>
      </c>
      <c r="C14" s="1" t="s">
        <v>35</v>
      </c>
    </row>
  </sheetData>
  <sheetProtection sheet="1" objects="1" scenarios="1"/>
  <printOptions/>
  <pageMargins left="0.75" right="0.75" top="1" bottom="1" header="0.5" footer="0.5"/>
  <pageSetup horizontalDpi="600" verticalDpi="600" orientation="portrait" paperSize="9" r:id="rId1"/>
  <headerFooter alignWithMargins="0">
    <oddFooter>&amp;L&amp;F&amp;R&amp;P</oddFooter>
  </headerFooter>
</worksheet>
</file>

<file path=xl/worksheets/sheet5.xml><?xml version="1.0" encoding="utf-8"?>
<worksheet xmlns="http://schemas.openxmlformats.org/spreadsheetml/2006/main" xmlns:r="http://schemas.openxmlformats.org/officeDocument/2006/relationships">
  <sheetPr>
    <tabColor indexed="44"/>
  </sheetPr>
  <dimension ref="A2:W125"/>
  <sheetViews>
    <sheetView zoomScale="85" zoomScaleNormal="85" zoomScalePageLayoutView="0" workbookViewId="0" topLeftCell="A1">
      <pane ySplit="4" topLeftCell="A68" activePane="bottomLeft" state="frozen"/>
      <selection pane="topLeft" activeCell="A1" sqref="A1"/>
      <selection pane="bottomLeft" activeCell="G55" sqref="G55"/>
    </sheetView>
  </sheetViews>
  <sheetFormatPr defaultColWidth="9.140625" defaultRowHeight="12.75" outlineLevelRow="1"/>
  <cols>
    <col min="1" max="1" width="4.57421875" style="1" bestFit="1" customWidth="1"/>
    <col min="2" max="2" width="34.421875" style="1" bestFit="1" customWidth="1"/>
    <col min="3" max="3" width="37.140625" style="1" bestFit="1" customWidth="1"/>
    <col min="4" max="4" width="18.7109375" style="1" bestFit="1" customWidth="1"/>
    <col min="5" max="5" width="16.57421875" style="1" bestFit="1" customWidth="1"/>
    <col min="6" max="6" width="27.140625" style="1" bestFit="1" customWidth="1"/>
    <col min="7" max="7" width="18.140625" style="1" bestFit="1" customWidth="1"/>
    <col min="8" max="8" width="16.421875" style="1" bestFit="1" customWidth="1"/>
    <col min="9" max="9" width="12.7109375" style="1" bestFit="1" customWidth="1"/>
    <col min="10" max="10" width="16.28125" style="1" bestFit="1" customWidth="1"/>
    <col min="11" max="11" width="14.28125" style="1" bestFit="1" customWidth="1"/>
    <col min="12" max="16384" width="9.140625" style="1" customWidth="1"/>
  </cols>
  <sheetData>
    <row r="2" spans="2:3" ht="12">
      <c r="B2" s="14" t="str">
        <f>modelname</f>
        <v>3rd Party Access Model</v>
      </c>
      <c r="C2" s="192" t="str">
        <f>HYPERLINK(Contents!$A$1,"Back to Contents Page")</f>
        <v>Back to Contents Page</v>
      </c>
    </row>
    <row r="3" spans="1:2" ht="11.25">
      <c r="A3" s="24"/>
      <c r="B3" s="190" t="s">
        <v>323</v>
      </c>
    </row>
    <row r="4" ht="9.75">
      <c r="B4" s="171" t="str">
        <f>Contents!D23</f>
        <v>This sheet contains most of the data input ranges that are used to calculate the model</v>
      </c>
    </row>
    <row r="6" ht="9.75">
      <c r="B6" s="2" t="s">
        <v>124</v>
      </c>
    </row>
    <row r="7" spans="2:3" ht="9.75">
      <c r="B7" s="199" t="s">
        <v>577</v>
      </c>
      <c r="C7" s="198" t="str">
        <f>HYPERLINK(CONCATENATE(workbookname,ADDRESS(ROW(Data!$A$16),COLUMN(Data!$A$16),4,1)),"Click Here")</f>
        <v>Click Here</v>
      </c>
    </row>
    <row r="8" spans="2:3" ht="9.75">
      <c r="B8" s="199" t="s">
        <v>590</v>
      </c>
      <c r="C8" s="198" t="str">
        <f>HYPERLINK(CONCATENATE(workbookname,ADDRESS(ROW(Data!$A$27),COLUMN(Data!$A$27),4,1)),"Click Here")</f>
        <v>Click Here</v>
      </c>
    </row>
    <row r="9" spans="2:3" ht="9.75">
      <c r="B9" s="199" t="s">
        <v>54</v>
      </c>
      <c r="C9" s="198" t="str">
        <f>HYPERLINK(CONCATENATE(workbookname,ADDRESS(ROW(Data!$A$32),COLUMN(Data!$A$32),4,1)),"Click Here")</f>
        <v>Click Here</v>
      </c>
    </row>
    <row r="10" spans="2:3" ht="9.75">
      <c r="B10" s="199" t="s">
        <v>100</v>
      </c>
      <c r="C10" s="198" t="str">
        <f>HYPERLINK(CONCATENATE(workbookname,ADDRESS(ROW(Data!$A$45),COLUMN(Data!$A$45),4,1)),"Click Here")</f>
        <v>Click Here</v>
      </c>
    </row>
    <row r="11" spans="2:3" ht="9.75">
      <c r="B11" s="199" t="s">
        <v>596</v>
      </c>
      <c r="C11" s="198" t="str">
        <f>HYPERLINK(CONCATENATE(workbookname,ADDRESS(ROW(Data!$A$50),COLUMN(Data!$A$50),4,1)),"Click Here")</f>
        <v>Click Here</v>
      </c>
    </row>
    <row r="12" spans="2:3" ht="9.75">
      <c r="B12" s="199" t="s">
        <v>64</v>
      </c>
      <c r="C12" s="198" t="str">
        <f>HYPERLINK(CONCATENATE(workbookname,ADDRESS(ROW(Data!$A$76),COLUMN(Data!$A$76),4,1)),"Click Here")</f>
        <v>Click Here</v>
      </c>
    </row>
    <row r="13" spans="2:3" ht="9.75">
      <c r="B13" s="199" t="s">
        <v>650</v>
      </c>
      <c r="C13" s="198" t="str">
        <f>HYPERLINK(CONCATENATE(workbookname,ADDRESS(ROW(Data!$A$89),COLUMN(Data!$A$89),4,1)),"Click Here")</f>
        <v>Click Here</v>
      </c>
    </row>
    <row r="14" spans="2:3" ht="9.75">
      <c r="B14" s="199" t="s">
        <v>654</v>
      </c>
      <c r="C14" s="198" t="str">
        <f>HYPERLINK(CONCATENATE(workbookname,ADDRESS(ROW(Data!$A$108),COLUMN(Data!$A$108),4,1)),"Click Here")</f>
        <v>Click Here</v>
      </c>
    </row>
    <row r="16" spans="1:2" ht="9.75">
      <c r="A16" s="198" t="str">
        <f>HYPERLINK(CONCATENATE(workbookname,"$A$5"),"Top")</f>
        <v>Top</v>
      </c>
      <c r="B16" s="2" t="str">
        <f>Contents!B24</f>
        <v>General Model Inputs</v>
      </c>
    </row>
    <row r="17" ht="9.75">
      <c r="B17" s="171" t="str">
        <f>Contents!D24</f>
        <v>This section contains general - global type inputs</v>
      </c>
    </row>
    <row r="18" spans="2:4" ht="9.75" outlineLevel="1">
      <c r="B18" s="1" t="s">
        <v>320</v>
      </c>
      <c r="C18" s="218" t="s">
        <v>318</v>
      </c>
      <c r="D18" s="4" t="s">
        <v>321</v>
      </c>
    </row>
    <row r="19" spans="2:4" ht="9.75" outlineLevel="1">
      <c r="B19" s="1" t="s">
        <v>578</v>
      </c>
      <c r="C19" s="218">
        <v>40360</v>
      </c>
      <c r="D19" s="4" t="s">
        <v>579</v>
      </c>
    </row>
    <row r="20" spans="2:4" ht="9.75" outlineLevel="1">
      <c r="B20" s="1" t="s">
        <v>537</v>
      </c>
      <c r="C20" s="1" t="str">
        <f ca="1">LEFT(SUBSTITUTE(CELL("Filename"),LEFT(CELL("Filename"),FIND("[",CELL("Filename"))-1),""),FIND("]",SUBSTITUTE(CELL("Filename"),LEFT(CELL("Filename"),FIND("[",CELL("Filename"))-1),"")))</f>
        <v>[R-CA-PU-0001 TPI 3rd party access floor and ceiling- Public Version.xls]</v>
      </c>
      <c r="D20" s="4" t="s">
        <v>538</v>
      </c>
    </row>
    <row r="21" spans="2:4" ht="9.75" outlineLevel="1">
      <c r="B21" s="1" t="s">
        <v>580</v>
      </c>
      <c r="C21" s="219">
        <v>1585000000</v>
      </c>
      <c r="D21" s="4" t="s">
        <v>581</v>
      </c>
    </row>
    <row r="22" spans="2:4" ht="9.75" outlineLevel="1">
      <c r="B22" s="1" t="s">
        <v>582</v>
      </c>
      <c r="C22" s="219">
        <v>55000000</v>
      </c>
      <c r="D22" s="4" t="s">
        <v>583</v>
      </c>
    </row>
    <row r="23" spans="2:4" ht="9.75" outlineLevel="1">
      <c r="B23" s="1" t="s">
        <v>584</v>
      </c>
      <c r="C23" s="5">
        <f>EOMONTH(C19,(C21/C22)*12-1)</f>
        <v>50860</v>
      </c>
      <c r="D23" s="4" t="s">
        <v>585</v>
      </c>
    </row>
    <row r="24" spans="2:4" ht="9.75" outlineLevel="1">
      <c r="B24" s="1" t="s">
        <v>586</v>
      </c>
      <c r="C24" s="220">
        <v>0.03</v>
      </c>
      <c r="D24" s="4" t="s">
        <v>587</v>
      </c>
    </row>
    <row r="25" spans="2:4" ht="9.75" outlineLevel="1">
      <c r="B25" s="1" t="s">
        <v>588</v>
      </c>
      <c r="C25" s="221">
        <v>0.1433</v>
      </c>
      <c r="D25" s="4" t="s">
        <v>589</v>
      </c>
    </row>
    <row r="27" spans="1:2" ht="9.75">
      <c r="A27" s="198" t="str">
        <f>HYPERLINK(CONCATENATE(workbookname,"$A$5"),"Top")</f>
        <v>Top</v>
      </c>
      <c r="B27" s="2" t="str">
        <f>Contents!B26</f>
        <v>Efficient Infrastructure Capacity</v>
      </c>
    </row>
    <row r="28" ht="9.75">
      <c r="B28" s="171" t="str">
        <f>Contents!D26</f>
        <v>The following table outlines the efficient capacities of the TPI network</v>
      </c>
    </row>
    <row r="29" spans="2:5" ht="9.75" outlineLevel="1">
      <c r="B29" s="2"/>
      <c r="C29" s="6" t="s">
        <v>592</v>
      </c>
      <c r="D29" s="6" t="s">
        <v>593</v>
      </c>
      <c r="E29" s="4" t="s">
        <v>594</v>
      </c>
    </row>
    <row r="30" spans="2:4" ht="9.75" outlineLevel="1">
      <c r="B30" s="1" t="s">
        <v>591</v>
      </c>
      <c r="C30" s="219">
        <v>40000000</v>
      </c>
      <c r="D30" s="219">
        <v>1217</v>
      </c>
    </row>
    <row r="32" spans="1:5" ht="9.75">
      <c r="A32" s="198" t="str">
        <f>HYPERLINK(CONCATENATE(workbookname,"$A$5"),"Top")</f>
        <v>Top</v>
      </c>
      <c r="B32" s="2" t="str">
        <f>Contents!B27</f>
        <v>Customer Data</v>
      </c>
      <c r="D32" s="4" t="s">
        <v>136</v>
      </c>
      <c r="E32" s="4" t="s">
        <v>135</v>
      </c>
    </row>
    <row r="33" spans="2:8" ht="9.75">
      <c r="B33" s="171" t="str">
        <f>Contents!D27</f>
        <v>This table contains critical information about customers on the network</v>
      </c>
      <c r="C33" s="6" t="s">
        <v>55</v>
      </c>
      <c r="D33" s="6" t="s">
        <v>61</v>
      </c>
      <c r="E33" s="6" t="s">
        <v>62</v>
      </c>
      <c r="H33" s="4" t="s">
        <v>63</v>
      </c>
    </row>
    <row r="34" spans="2:3" ht="9.75" outlineLevel="1">
      <c r="B34" s="1" t="s">
        <v>597</v>
      </c>
      <c r="C34" s="1" t="s">
        <v>597</v>
      </c>
    </row>
    <row r="35" spans="2:5" ht="9.75" outlineLevel="1">
      <c r="B35" s="1" t="s">
        <v>46</v>
      </c>
      <c r="C35" s="210" t="s">
        <v>164</v>
      </c>
      <c r="D35" s="219">
        <v>40000000</v>
      </c>
      <c r="E35" s="219">
        <v>1217</v>
      </c>
    </row>
    <row r="36" spans="2:5" ht="9.75" outlineLevel="1">
      <c r="B36" s="1" t="s">
        <v>47</v>
      </c>
      <c r="C36" s="210" t="s">
        <v>713</v>
      </c>
      <c r="D36" s="219"/>
      <c r="E36" s="219"/>
    </row>
    <row r="37" spans="2:5" ht="9.75" outlineLevel="1">
      <c r="B37" s="1" t="s">
        <v>48</v>
      </c>
      <c r="C37" s="210" t="s">
        <v>714</v>
      </c>
      <c r="D37" s="219"/>
      <c r="E37" s="219"/>
    </row>
    <row r="38" spans="2:5" ht="9.75" outlineLevel="1">
      <c r="B38" s="1" t="s">
        <v>49</v>
      </c>
      <c r="C38" s="210" t="s">
        <v>56</v>
      </c>
      <c r="D38" s="219"/>
      <c r="E38" s="219"/>
    </row>
    <row r="39" spans="2:5" ht="9.75" outlineLevel="1">
      <c r="B39" s="1" t="s">
        <v>50</v>
      </c>
      <c r="C39" s="210" t="s">
        <v>57</v>
      </c>
      <c r="D39" s="219"/>
      <c r="E39" s="219"/>
    </row>
    <row r="40" spans="2:5" ht="9.75" outlineLevel="1">
      <c r="B40" s="1" t="s">
        <v>51</v>
      </c>
      <c r="C40" s="210" t="s">
        <v>58</v>
      </c>
      <c r="D40" s="219"/>
      <c r="E40" s="219"/>
    </row>
    <row r="41" spans="2:5" ht="9.75" outlineLevel="1">
      <c r="B41" s="1" t="s">
        <v>52</v>
      </c>
      <c r="C41" s="210" t="s">
        <v>59</v>
      </c>
      <c r="D41" s="219"/>
      <c r="E41" s="219"/>
    </row>
    <row r="42" spans="2:5" ht="9.75" outlineLevel="1">
      <c r="B42" s="1" t="s">
        <v>53</v>
      </c>
      <c r="C42" s="210" t="s">
        <v>60</v>
      </c>
      <c r="D42" s="219"/>
      <c r="E42" s="219"/>
    </row>
    <row r="43" spans="2:5" ht="9.75" outlineLevel="1">
      <c r="B43" s="1" t="s">
        <v>645</v>
      </c>
      <c r="D43" s="8">
        <f>SUM(D35:D42)</f>
        <v>40000000</v>
      </c>
      <c r="E43" s="8">
        <f>SUM(E35:E42)</f>
        <v>1217</v>
      </c>
    </row>
    <row r="44" ht="9.75">
      <c r="H44" s="8"/>
    </row>
    <row r="45" spans="1:2" ht="9.75">
      <c r="A45" s="198" t="str">
        <f>HYPERLINK(CONCATENATE(workbookname,"$A$5"),"Top")</f>
        <v>Top</v>
      </c>
      <c r="B45" s="2" t="str">
        <f>Contents!B29</f>
        <v>Asymmetric Risk Cost</v>
      </c>
    </row>
    <row r="46" spans="2:7" ht="9.75">
      <c r="B46" s="171" t="str">
        <f>Contents!D29</f>
        <v>The asymmetric risk associated to the rail and port infrastructure</v>
      </c>
      <c r="C46" s="136" t="s">
        <v>298</v>
      </c>
      <c r="D46" s="136" t="s">
        <v>299</v>
      </c>
      <c r="E46" s="6" t="s">
        <v>300</v>
      </c>
      <c r="F46" s="6" t="s">
        <v>98</v>
      </c>
      <c r="G46" s="4" t="s">
        <v>102</v>
      </c>
    </row>
    <row r="47" spans="2:7" ht="9.75" outlineLevel="1">
      <c r="B47" s="1" t="s">
        <v>101</v>
      </c>
      <c r="C47" s="221">
        <v>0.0109</v>
      </c>
      <c r="D47" s="8">
        <f>'Rail Pricing'!C247-ariskrail</f>
        <v>228440970.7776511</v>
      </c>
      <c r="E47" s="8">
        <f>C47*D47</f>
        <v>2490006.581476397</v>
      </c>
      <c r="F47" s="227">
        <v>2490007</v>
      </c>
      <c r="G47" s="1" t="s">
        <v>296</v>
      </c>
    </row>
    <row r="48" ht="9.75" outlineLevel="1">
      <c r="G48" s="2" t="s">
        <v>297</v>
      </c>
    </row>
    <row r="50" spans="1:2" ht="9.75">
      <c r="A50" s="198" t="str">
        <f>HYPERLINK(CONCATENATE(workbookname,"$A$5"),"Top")</f>
        <v>Top</v>
      </c>
      <c r="B50" s="2" t="str">
        <f>Contents!B31</f>
        <v>Rail Segments</v>
      </c>
    </row>
    <row r="51" ht="9.75">
      <c r="B51" s="171" t="str">
        <f>Contents!D31</f>
        <v>Details pertaining to the segments on the rail network</v>
      </c>
    </row>
    <row r="52" spans="2:3" ht="9.75" outlineLevel="1">
      <c r="B52" s="1" t="s">
        <v>597</v>
      </c>
      <c r="C52" s="1" t="s">
        <v>597</v>
      </c>
    </row>
    <row r="53" spans="2:5" ht="9.75" outlineLevel="1">
      <c r="B53" s="1" t="s">
        <v>598</v>
      </c>
      <c r="C53" s="1" t="s">
        <v>598</v>
      </c>
      <c r="D53" s="9" t="s">
        <v>599</v>
      </c>
      <c r="E53" s="9" t="s">
        <v>646</v>
      </c>
    </row>
    <row r="54" spans="2:6" ht="9.75" outlineLevel="1">
      <c r="B54" s="1" t="s">
        <v>600</v>
      </c>
      <c r="C54" s="210" t="s">
        <v>731</v>
      </c>
      <c r="D54" s="222" t="s">
        <v>601</v>
      </c>
      <c r="E54" s="226">
        <v>273534</v>
      </c>
      <c r="F54" s="4" t="s">
        <v>602</v>
      </c>
    </row>
    <row r="55" spans="2:6" ht="9.75" outlineLevel="1">
      <c r="B55" s="1" t="s">
        <v>603</v>
      </c>
      <c r="C55" s="210" t="s">
        <v>715</v>
      </c>
      <c r="D55" s="222" t="s">
        <v>624</v>
      </c>
      <c r="E55" s="226"/>
      <c r="F55" s="4" t="s">
        <v>604</v>
      </c>
    </row>
    <row r="56" spans="2:6" ht="9.75" outlineLevel="1">
      <c r="B56" s="1" t="s">
        <v>605</v>
      </c>
      <c r="C56" s="210" t="s">
        <v>716</v>
      </c>
      <c r="D56" s="222" t="s">
        <v>624</v>
      </c>
      <c r="E56" s="226"/>
      <c r="F56" s="4" t="s">
        <v>606</v>
      </c>
    </row>
    <row r="57" spans="2:6" ht="9.75" outlineLevel="1">
      <c r="B57" s="1" t="s">
        <v>607</v>
      </c>
      <c r="C57" s="210" t="s">
        <v>717</v>
      </c>
      <c r="D57" s="222" t="s">
        <v>624</v>
      </c>
      <c r="E57" s="226"/>
      <c r="F57" s="4" t="s">
        <v>608</v>
      </c>
    </row>
    <row r="58" spans="2:6" ht="9.75" outlineLevel="1">
      <c r="B58" s="1" t="s">
        <v>609</v>
      </c>
      <c r="C58" s="210" t="s">
        <v>718</v>
      </c>
      <c r="D58" s="222" t="s">
        <v>624</v>
      </c>
      <c r="E58" s="226"/>
      <c r="F58" s="4" t="s">
        <v>610</v>
      </c>
    </row>
    <row r="59" spans="2:6" ht="9.75" outlineLevel="1">
      <c r="B59" s="1" t="s">
        <v>611</v>
      </c>
      <c r="C59" s="210" t="s">
        <v>719</v>
      </c>
      <c r="D59" s="222" t="s">
        <v>624</v>
      </c>
      <c r="E59" s="226"/>
      <c r="F59" s="4" t="s">
        <v>612</v>
      </c>
    </row>
    <row r="60" spans="2:6" ht="9.75" outlineLevel="1">
      <c r="B60" s="1" t="s">
        <v>613</v>
      </c>
      <c r="C60" s="210" t="s">
        <v>720</v>
      </c>
      <c r="D60" s="222" t="s">
        <v>624</v>
      </c>
      <c r="E60" s="226"/>
      <c r="F60" s="4" t="s">
        <v>614</v>
      </c>
    </row>
    <row r="61" spans="2:6" ht="9.75" outlineLevel="1">
      <c r="B61" s="1" t="s">
        <v>615</v>
      </c>
      <c r="C61" s="210" t="s">
        <v>721</v>
      </c>
      <c r="D61" s="222" t="s">
        <v>624</v>
      </c>
      <c r="E61" s="226"/>
      <c r="F61" s="4" t="s">
        <v>616</v>
      </c>
    </row>
    <row r="62" spans="2:6" ht="9.75" outlineLevel="1">
      <c r="B62" s="1" t="s">
        <v>617</v>
      </c>
      <c r="C62" s="210" t="s">
        <v>722</v>
      </c>
      <c r="D62" s="222" t="s">
        <v>624</v>
      </c>
      <c r="E62" s="226"/>
      <c r="F62" s="4" t="s">
        <v>618</v>
      </c>
    </row>
    <row r="63" spans="2:6" ht="9.75" outlineLevel="1">
      <c r="B63" s="1" t="s">
        <v>619</v>
      </c>
      <c r="C63" s="210" t="s">
        <v>723</v>
      </c>
      <c r="D63" s="222" t="s">
        <v>624</v>
      </c>
      <c r="E63" s="226"/>
      <c r="F63" s="4" t="s">
        <v>620</v>
      </c>
    </row>
    <row r="64" spans="2:6" ht="9.75" outlineLevel="1">
      <c r="B64" s="1" t="s">
        <v>621</v>
      </c>
      <c r="C64" s="210" t="s">
        <v>724</v>
      </c>
      <c r="D64" s="222" t="s">
        <v>624</v>
      </c>
      <c r="E64" s="226"/>
      <c r="F64" s="4" t="s">
        <v>622</v>
      </c>
    </row>
    <row r="65" spans="2:6" ht="9.75" outlineLevel="1">
      <c r="B65" s="1" t="s">
        <v>623</v>
      </c>
      <c r="C65" s="210" t="s">
        <v>725</v>
      </c>
      <c r="D65" s="222" t="s">
        <v>624</v>
      </c>
      <c r="E65" s="226"/>
      <c r="F65" s="4" t="s">
        <v>625</v>
      </c>
    </row>
    <row r="66" spans="2:6" ht="9.75" outlineLevel="1">
      <c r="B66" s="1" t="s">
        <v>626</v>
      </c>
      <c r="C66" s="210" t="s">
        <v>726</v>
      </c>
      <c r="D66" s="222" t="s">
        <v>624</v>
      </c>
      <c r="E66" s="226"/>
      <c r="F66" s="4" t="s">
        <v>627</v>
      </c>
    </row>
    <row r="67" spans="2:6" ht="9.75" outlineLevel="1">
      <c r="B67" s="1" t="s">
        <v>628</v>
      </c>
      <c r="C67" s="210" t="s">
        <v>727</v>
      </c>
      <c r="D67" s="222" t="s">
        <v>624</v>
      </c>
      <c r="E67" s="226"/>
      <c r="F67" s="4" t="s">
        <v>629</v>
      </c>
    </row>
    <row r="68" spans="2:6" ht="9.75" outlineLevel="1">
      <c r="B68" s="1" t="s">
        <v>630</v>
      </c>
      <c r="C68" s="210" t="s">
        <v>728</v>
      </c>
      <c r="D68" s="222" t="s">
        <v>624</v>
      </c>
      <c r="E68" s="226"/>
      <c r="F68" s="4" t="s">
        <v>631</v>
      </c>
    </row>
    <row r="69" spans="2:6" ht="9.75" outlineLevel="1">
      <c r="B69" s="1" t="s">
        <v>632</v>
      </c>
      <c r="C69" s="210" t="s">
        <v>729</v>
      </c>
      <c r="D69" s="222" t="s">
        <v>624</v>
      </c>
      <c r="E69" s="226"/>
      <c r="F69" s="4" t="s">
        <v>633</v>
      </c>
    </row>
    <row r="70" spans="2:6" ht="9.75" outlineLevel="1">
      <c r="B70" s="1" t="s">
        <v>634</v>
      </c>
      <c r="C70" s="210" t="s">
        <v>730</v>
      </c>
      <c r="D70" s="222" t="s">
        <v>624</v>
      </c>
      <c r="E70" s="226"/>
      <c r="F70" s="4" t="s">
        <v>635</v>
      </c>
    </row>
    <row r="71" spans="2:6" ht="9.75" outlineLevel="1">
      <c r="B71" s="1" t="s">
        <v>636</v>
      </c>
      <c r="C71" s="210" t="s">
        <v>637</v>
      </c>
      <c r="D71" s="222" t="s">
        <v>624</v>
      </c>
      <c r="E71" s="219"/>
      <c r="F71" s="4" t="s">
        <v>638</v>
      </c>
    </row>
    <row r="72" spans="2:6" ht="9.75" outlineLevel="1">
      <c r="B72" s="1" t="s">
        <v>639</v>
      </c>
      <c r="C72" s="210" t="s">
        <v>640</v>
      </c>
      <c r="D72" s="222" t="s">
        <v>624</v>
      </c>
      <c r="E72" s="219"/>
      <c r="F72" s="4" t="s">
        <v>641</v>
      </c>
    </row>
    <row r="73" spans="2:6" ht="9.75" outlineLevel="1">
      <c r="B73" s="1" t="s">
        <v>642</v>
      </c>
      <c r="C73" s="210" t="s">
        <v>643</v>
      </c>
      <c r="D73" s="222" t="s">
        <v>624</v>
      </c>
      <c r="E73" s="219"/>
      <c r="F73" s="4" t="s">
        <v>644</v>
      </c>
    </row>
    <row r="74" spans="2:7" ht="9.75" outlineLevel="1">
      <c r="B74" s="1" t="s">
        <v>645</v>
      </c>
      <c r="D74" s="6">
        <f>COUNTIF(D54:D73,"Yes")</f>
        <v>1</v>
      </c>
      <c r="E74" s="11">
        <f>SUM(E54:E73)</f>
        <v>273534</v>
      </c>
      <c r="F74" s="4" t="s">
        <v>648</v>
      </c>
      <c r="G74" s="4" t="s">
        <v>647</v>
      </c>
    </row>
    <row r="76" spans="1:2" ht="9.75">
      <c r="A76" s="198" t="str">
        <f>HYPERLINK(CONCATENATE(workbookname,"$A$5"),"Top")</f>
        <v>Top</v>
      </c>
      <c r="B76" s="2" t="str">
        <f>Contents!B32</f>
        <v>Rail Incremental Costs by Segment</v>
      </c>
    </row>
    <row r="77" ht="9.75">
      <c r="B77" s="171" t="str">
        <f>Contents!D32</f>
        <v>Scaling of incremental costs on the rail network</v>
      </c>
    </row>
    <row r="78" spans="2:3" ht="9.75" outlineLevel="1">
      <c r="B78" s="1" t="s">
        <v>70</v>
      </c>
      <c r="C78" s="224">
        <f>railmin1seg</f>
        <v>0.7159</v>
      </c>
    </row>
    <row r="79" spans="2:3" ht="9.75" outlineLevel="1">
      <c r="B79" s="1" t="s">
        <v>89</v>
      </c>
      <c r="C79" s="224">
        <f>R86</f>
        <v>0.7159</v>
      </c>
    </row>
    <row r="80" spans="2:23" ht="9.75" outlineLevel="1">
      <c r="B80" s="1" t="s">
        <v>71</v>
      </c>
      <c r="C80" s="224">
        <f>railcur1seg</f>
        <v>1</v>
      </c>
      <c r="W80" s="4" t="s">
        <v>66</v>
      </c>
    </row>
    <row r="81" spans="2:23" ht="9.75" outlineLevel="1">
      <c r="B81" s="1" t="s">
        <v>90</v>
      </c>
      <c r="C81" s="224">
        <v>1</v>
      </c>
      <c r="D81" s="4" t="s">
        <v>95</v>
      </c>
      <c r="W81" s="4"/>
    </row>
    <row r="82" spans="3:23" ht="9.75" outlineLevel="1">
      <c r="C82" s="4"/>
      <c r="D82" s="4"/>
      <c r="W82" s="4"/>
    </row>
    <row r="83" spans="2:23" ht="9.75" outlineLevel="1">
      <c r="B83" s="209" t="s">
        <v>375</v>
      </c>
      <c r="C83" s="209"/>
      <c r="D83" s="209"/>
      <c r="E83" s="209"/>
      <c r="F83" s="209"/>
      <c r="G83" s="209"/>
      <c r="H83" s="209"/>
      <c r="I83" s="209"/>
      <c r="W83" s="4"/>
    </row>
    <row r="84" spans="2:22" ht="9.75" outlineLevel="1">
      <c r="B84" s="1" t="s">
        <v>65</v>
      </c>
      <c r="C84" s="6">
        <v>1</v>
      </c>
      <c r="D84" s="6">
        <f>C84+1</f>
        <v>2</v>
      </c>
      <c r="E84" s="6">
        <f aca="true" t="shared" si="0" ref="E84:V84">D84+1</f>
        <v>3</v>
      </c>
      <c r="F84" s="6">
        <f t="shared" si="0"/>
        <v>4</v>
      </c>
      <c r="G84" s="6">
        <f>F84+1</f>
        <v>5</v>
      </c>
      <c r="H84" s="6">
        <f t="shared" si="0"/>
        <v>6</v>
      </c>
      <c r="I84" s="6">
        <f t="shared" si="0"/>
        <v>7</v>
      </c>
      <c r="J84" s="6">
        <f t="shared" si="0"/>
        <v>8</v>
      </c>
      <c r="K84" s="6">
        <f t="shared" si="0"/>
        <v>9</v>
      </c>
      <c r="L84" s="6">
        <f t="shared" si="0"/>
        <v>10</v>
      </c>
      <c r="M84" s="6">
        <f>L84+1</f>
        <v>11</v>
      </c>
      <c r="N84" s="6">
        <f t="shared" si="0"/>
        <v>12</v>
      </c>
      <c r="O84" s="6">
        <f t="shared" si="0"/>
        <v>13</v>
      </c>
      <c r="P84" s="6">
        <f t="shared" si="0"/>
        <v>14</v>
      </c>
      <c r="Q84" s="6">
        <f t="shared" si="0"/>
        <v>15</v>
      </c>
      <c r="R84" s="6">
        <f t="shared" si="0"/>
        <v>16</v>
      </c>
      <c r="S84" s="6">
        <f t="shared" si="0"/>
        <v>17</v>
      </c>
      <c r="T84" s="6">
        <f t="shared" si="0"/>
        <v>18</v>
      </c>
      <c r="U84" s="6">
        <f>T84+1</f>
        <v>19</v>
      </c>
      <c r="V84" s="6">
        <f t="shared" si="0"/>
        <v>20</v>
      </c>
    </row>
    <row r="85" spans="2:22" ht="9.75" outlineLevel="1">
      <c r="B85" s="1" t="s">
        <v>67</v>
      </c>
      <c r="C85" s="6"/>
      <c r="D85" s="6"/>
      <c r="E85" s="6"/>
      <c r="F85" s="6"/>
      <c r="G85" s="6"/>
      <c r="H85" s="6"/>
      <c r="I85" s="6"/>
      <c r="J85" s="6"/>
      <c r="K85" s="6"/>
      <c r="L85" s="6"/>
      <c r="M85" s="6"/>
      <c r="N85" s="6"/>
      <c r="O85" s="6"/>
      <c r="P85" s="6"/>
      <c r="Q85" s="6"/>
      <c r="R85" s="6"/>
      <c r="S85" s="6"/>
      <c r="T85" s="6"/>
      <c r="U85" s="6"/>
      <c r="V85" s="6"/>
    </row>
    <row r="86" spans="2:22" ht="9.75" outlineLevel="1">
      <c r="B86" s="1" t="s">
        <v>68</v>
      </c>
      <c r="C86" s="221">
        <v>0.7159</v>
      </c>
      <c r="D86" s="221">
        <v>0.7159</v>
      </c>
      <c r="E86" s="221">
        <v>0.7159</v>
      </c>
      <c r="F86" s="221">
        <v>0.7159</v>
      </c>
      <c r="G86" s="221">
        <v>0.7159</v>
      </c>
      <c r="H86" s="221">
        <v>0.7159</v>
      </c>
      <c r="I86" s="221">
        <v>0.7159</v>
      </c>
      <c r="J86" s="221">
        <v>0.7159</v>
      </c>
      <c r="K86" s="221">
        <v>0.7159</v>
      </c>
      <c r="L86" s="221">
        <v>0.7159</v>
      </c>
      <c r="M86" s="221">
        <v>0.7159</v>
      </c>
      <c r="N86" s="221">
        <v>0.7159</v>
      </c>
      <c r="O86" s="221">
        <v>0.7159</v>
      </c>
      <c r="P86" s="221">
        <v>0.7159</v>
      </c>
      <c r="Q86" s="221">
        <v>0.7159</v>
      </c>
      <c r="R86" s="221">
        <v>0.7159</v>
      </c>
      <c r="S86" s="221">
        <v>0.7159</v>
      </c>
      <c r="T86" s="221">
        <v>0.7159</v>
      </c>
      <c r="U86" s="221">
        <v>0.7159</v>
      </c>
      <c r="V86" s="221">
        <v>0.7159</v>
      </c>
    </row>
    <row r="87" spans="2:22" ht="9.75" outlineLevel="1">
      <c r="B87" s="1" t="s">
        <v>69</v>
      </c>
      <c r="C87" s="221">
        <v>1</v>
      </c>
      <c r="D87" s="221">
        <v>1</v>
      </c>
      <c r="E87" s="221">
        <v>1</v>
      </c>
      <c r="F87" s="221">
        <v>1</v>
      </c>
      <c r="G87" s="221">
        <v>1</v>
      </c>
      <c r="H87" s="221">
        <v>1</v>
      </c>
      <c r="I87" s="221">
        <v>1</v>
      </c>
      <c r="J87" s="221">
        <v>1</v>
      </c>
      <c r="K87" s="221">
        <v>1</v>
      </c>
      <c r="L87" s="221">
        <v>1</v>
      </c>
      <c r="M87" s="221">
        <v>1</v>
      </c>
      <c r="N87" s="221">
        <v>1</v>
      </c>
      <c r="O87" s="221">
        <v>1</v>
      </c>
      <c r="P87" s="221">
        <v>1</v>
      </c>
      <c r="Q87" s="221">
        <v>1</v>
      </c>
      <c r="R87" s="221">
        <v>1</v>
      </c>
      <c r="S87" s="221">
        <v>1</v>
      </c>
      <c r="T87" s="221">
        <v>1</v>
      </c>
      <c r="U87" s="221">
        <v>1</v>
      </c>
      <c r="V87" s="221">
        <v>1</v>
      </c>
    </row>
    <row r="88" spans="4:9" ht="9.75">
      <c r="D88" s="19"/>
      <c r="E88" s="19"/>
      <c r="F88" s="19"/>
      <c r="G88" s="19"/>
      <c r="H88" s="19"/>
      <c r="I88" s="19"/>
    </row>
    <row r="89" spans="1:9" ht="9.75">
      <c r="A89" s="198" t="str">
        <f>HYPERLINK(CONCATENATE(workbookname,"$A$5"),"Top")</f>
        <v>Top</v>
      </c>
      <c r="B89" s="2" t="str">
        <f>Contents!B33</f>
        <v>Rail Operating Costs</v>
      </c>
      <c r="I89" s="19"/>
    </row>
    <row r="90" spans="2:9" ht="9.75">
      <c r="B90" s="171" t="str">
        <f>Contents!D33</f>
        <v>Table of operating costs associated to the rail network</v>
      </c>
      <c r="C90" s="4" t="s">
        <v>74</v>
      </c>
      <c r="D90" s="4" t="s">
        <v>75</v>
      </c>
      <c r="E90" s="4"/>
      <c r="F90" s="4" t="s">
        <v>76</v>
      </c>
      <c r="G90" s="19"/>
      <c r="H90" s="4" t="s">
        <v>99</v>
      </c>
      <c r="I90" s="19"/>
    </row>
    <row r="91" spans="3:9" ht="9.75" outlineLevel="1">
      <c r="C91" s="6" t="s">
        <v>595</v>
      </c>
      <c r="D91" s="6" t="s">
        <v>72</v>
      </c>
      <c r="E91" s="6" t="s">
        <v>73</v>
      </c>
      <c r="F91" s="6" t="s">
        <v>97</v>
      </c>
      <c r="G91" s="1" t="s">
        <v>96</v>
      </c>
      <c r="H91" s="1" t="s">
        <v>98</v>
      </c>
      <c r="I91" s="4" t="s">
        <v>653</v>
      </c>
    </row>
    <row r="92" spans="2:11" ht="9.75" outlineLevel="1">
      <c r="B92" s="210" t="s">
        <v>149</v>
      </c>
      <c r="C92" s="219">
        <v>0</v>
      </c>
      <c r="D92" s="222" t="s">
        <v>597</v>
      </c>
      <c r="E92" s="222" t="s">
        <v>186</v>
      </c>
      <c r="F92" s="219"/>
      <c r="G92" s="8">
        <f>$E$43</f>
        <v>1217</v>
      </c>
      <c r="H92" s="8">
        <f aca="true" t="shared" si="1" ref="H92:H97">IF(F92="",0,C92*(G92/F92))</f>
        <v>0</v>
      </c>
      <c r="J92" s="228"/>
      <c r="K92" s="25"/>
    </row>
    <row r="93" spans="2:11" ht="9.75" outlineLevel="1">
      <c r="B93" s="210" t="s">
        <v>150</v>
      </c>
      <c r="C93" s="219">
        <v>0</v>
      </c>
      <c r="D93" s="222" t="s">
        <v>597</v>
      </c>
      <c r="E93" s="222" t="s">
        <v>652</v>
      </c>
      <c r="F93" s="219"/>
      <c r="G93" s="8">
        <f aca="true" t="shared" si="2" ref="G93:G106">$E$43</f>
        <v>1217</v>
      </c>
      <c r="H93" s="8">
        <f t="shared" si="1"/>
        <v>0</v>
      </c>
      <c r="J93" s="229"/>
      <c r="K93" s="229"/>
    </row>
    <row r="94" spans="2:11" ht="9.75" outlineLevel="1">
      <c r="B94" s="210" t="s">
        <v>151</v>
      </c>
      <c r="C94" s="219">
        <v>36602260</v>
      </c>
      <c r="D94" s="222" t="s">
        <v>597</v>
      </c>
      <c r="E94" s="222" t="s">
        <v>652</v>
      </c>
      <c r="F94" s="219">
        <v>1217</v>
      </c>
      <c r="G94" s="8">
        <f t="shared" si="2"/>
        <v>1217</v>
      </c>
      <c r="H94" s="8">
        <f t="shared" si="1"/>
        <v>36602260</v>
      </c>
      <c r="J94" s="230"/>
      <c r="K94" s="229"/>
    </row>
    <row r="95" spans="2:11" ht="9.75" outlineLevel="1">
      <c r="B95" s="210" t="s">
        <v>152</v>
      </c>
      <c r="C95" s="219">
        <v>4836136</v>
      </c>
      <c r="D95" s="222" t="s">
        <v>597</v>
      </c>
      <c r="E95" s="222" t="s">
        <v>652</v>
      </c>
      <c r="F95" s="219">
        <v>1217</v>
      </c>
      <c r="G95" s="8">
        <f t="shared" si="2"/>
        <v>1217</v>
      </c>
      <c r="H95" s="8">
        <f t="shared" si="1"/>
        <v>4836136</v>
      </c>
      <c r="J95" s="230"/>
      <c r="K95" s="25"/>
    </row>
    <row r="96" spans="2:11" ht="9.75" outlineLevel="1">
      <c r="B96" s="210" t="s">
        <v>744</v>
      </c>
      <c r="C96" s="219">
        <v>7882762</v>
      </c>
      <c r="D96" s="222" t="s">
        <v>597</v>
      </c>
      <c r="E96" s="222" t="s">
        <v>651</v>
      </c>
      <c r="F96" s="219">
        <v>1217</v>
      </c>
      <c r="G96" s="8">
        <f t="shared" si="2"/>
        <v>1217</v>
      </c>
      <c r="H96" s="8">
        <f t="shared" si="1"/>
        <v>7882762</v>
      </c>
      <c r="J96" s="230"/>
      <c r="K96" s="25"/>
    </row>
    <row r="97" spans="2:11" ht="9.75" outlineLevel="1">
      <c r="B97" s="210" t="s">
        <v>745</v>
      </c>
      <c r="C97" s="219">
        <v>9221531</v>
      </c>
      <c r="D97" s="222" t="s">
        <v>597</v>
      </c>
      <c r="E97" s="222" t="s">
        <v>651</v>
      </c>
      <c r="F97" s="219">
        <v>1217</v>
      </c>
      <c r="G97" s="8">
        <f t="shared" si="2"/>
        <v>1217</v>
      </c>
      <c r="H97" s="8">
        <f t="shared" si="1"/>
        <v>9221531</v>
      </c>
      <c r="J97" s="230"/>
      <c r="K97" s="25"/>
    </row>
    <row r="98" spans="2:11" ht="9.75" outlineLevel="1">
      <c r="B98" s="210" t="s">
        <v>746</v>
      </c>
      <c r="C98" s="219"/>
      <c r="D98" s="222" t="s">
        <v>597</v>
      </c>
      <c r="E98" s="222" t="s">
        <v>651</v>
      </c>
      <c r="F98" s="219"/>
      <c r="G98" s="8">
        <f t="shared" si="2"/>
        <v>1217</v>
      </c>
      <c r="H98" s="8"/>
      <c r="J98" s="230"/>
      <c r="K98" s="25"/>
    </row>
    <row r="99" spans="2:11" ht="9.75" outlineLevel="1">
      <c r="B99" s="210" t="s">
        <v>747</v>
      </c>
      <c r="C99" s="219"/>
      <c r="D99" s="222" t="s">
        <v>597</v>
      </c>
      <c r="E99" s="222" t="s">
        <v>651</v>
      </c>
      <c r="F99" s="219"/>
      <c r="G99" s="8">
        <f t="shared" si="2"/>
        <v>1217</v>
      </c>
      <c r="H99" s="8"/>
      <c r="J99" s="230"/>
      <c r="K99" s="25"/>
    </row>
    <row r="100" spans="2:11" ht="9.75" outlineLevel="1">
      <c r="B100" s="210" t="s">
        <v>748</v>
      </c>
      <c r="C100" s="219"/>
      <c r="D100" s="222" t="s">
        <v>597</v>
      </c>
      <c r="E100" s="222" t="s">
        <v>651</v>
      </c>
      <c r="F100" s="219"/>
      <c r="G100" s="8">
        <f t="shared" si="2"/>
        <v>1217</v>
      </c>
      <c r="H100" s="8"/>
      <c r="J100" s="230"/>
      <c r="K100" s="25"/>
    </row>
    <row r="101" spans="2:11" ht="9.75" outlineLevel="1">
      <c r="B101" s="210" t="s">
        <v>749</v>
      </c>
      <c r="C101" s="219"/>
      <c r="D101" s="222" t="s">
        <v>597</v>
      </c>
      <c r="E101" s="222" t="s">
        <v>651</v>
      </c>
      <c r="F101" s="219"/>
      <c r="G101" s="8">
        <f t="shared" si="2"/>
        <v>1217</v>
      </c>
      <c r="H101" s="8"/>
      <c r="J101" s="230"/>
      <c r="K101" s="25"/>
    </row>
    <row r="102" spans="2:11" ht="9.75" outlineLevel="1">
      <c r="B102" s="210" t="s">
        <v>750</v>
      </c>
      <c r="C102" s="219"/>
      <c r="D102" s="222" t="s">
        <v>597</v>
      </c>
      <c r="E102" s="222" t="s">
        <v>651</v>
      </c>
      <c r="F102" s="219"/>
      <c r="G102" s="8">
        <f t="shared" si="2"/>
        <v>1217</v>
      </c>
      <c r="H102" s="8"/>
      <c r="J102" s="230"/>
      <c r="K102" s="25"/>
    </row>
    <row r="103" spans="2:11" ht="9.75" outlineLevel="1">
      <c r="B103" s="210" t="s">
        <v>751</v>
      </c>
      <c r="C103" s="219"/>
      <c r="D103" s="222" t="s">
        <v>597</v>
      </c>
      <c r="E103" s="222" t="s">
        <v>651</v>
      </c>
      <c r="F103" s="219"/>
      <c r="G103" s="8">
        <f t="shared" si="2"/>
        <v>1217</v>
      </c>
      <c r="H103" s="8"/>
      <c r="J103" s="230"/>
      <c r="K103" s="25"/>
    </row>
    <row r="104" spans="2:11" ht="9.75" outlineLevel="1">
      <c r="B104" s="210" t="s">
        <v>752</v>
      </c>
      <c r="C104" s="219"/>
      <c r="D104" s="222" t="s">
        <v>597</v>
      </c>
      <c r="E104" s="222" t="s">
        <v>651</v>
      </c>
      <c r="F104" s="219"/>
      <c r="G104" s="8">
        <f t="shared" si="2"/>
        <v>1217</v>
      </c>
      <c r="H104" s="8"/>
      <c r="J104" s="230"/>
      <c r="K104" s="25"/>
    </row>
    <row r="105" spans="2:11" ht="9.75" outlineLevel="1">
      <c r="B105" s="210" t="s">
        <v>753</v>
      </c>
      <c r="C105" s="219"/>
      <c r="D105" s="222" t="s">
        <v>597</v>
      </c>
      <c r="E105" s="222" t="s">
        <v>651</v>
      </c>
      <c r="F105" s="219"/>
      <c r="G105" s="8">
        <f t="shared" si="2"/>
        <v>1217</v>
      </c>
      <c r="H105" s="8"/>
      <c r="J105" s="230"/>
      <c r="K105" s="25"/>
    </row>
    <row r="106" spans="2:11" ht="9.75" outlineLevel="1">
      <c r="B106" s="210" t="s">
        <v>649</v>
      </c>
      <c r="C106" s="219"/>
      <c r="D106" s="222"/>
      <c r="E106" s="222"/>
      <c r="F106" s="219"/>
      <c r="G106" s="8">
        <f t="shared" si="2"/>
        <v>1217</v>
      </c>
      <c r="H106" s="8"/>
      <c r="J106" s="25"/>
      <c r="K106" s="25"/>
    </row>
    <row r="107" spans="10:11" ht="9.75">
      <c r="J107" s="25"/>
      <c r="K107" s="25"/>
    </row>
    <row r="108" spans="1:2" ht="9.75">
      <c r="A108" s="198" t="str">
        <f>HYPERLINK(CONCATENATE(workbookname,"$A$5"),"Top")</f>
        <v>Top</v>
      </c>
      <c r="B108" s="2" t="str">
        <f>Contents!B34</f>
        <v>Rail Capital Expenditure</v>
      </c>
    </row>
    <row r="109" spans="2:8" ht="9.75">
      <c r="B109" s="171" t="str">
        <f>Contents!D34</f>
        <v>Capital expenditure projects relating to the rail network</v>
      </c>
      <c r="C109" s="4" t="s">
        <v>655</v>
      </c>
      <c r="D109" s="4" t="s">
        <v>78</v>
      </c>
      <c r="E109" s="4" t="s">
        <v>656</v>
      </c>
      <c r="F109" s="4"/>
      <c r="G109" s="4"/>
      <c r="H109" s="4" t="s">
        <v>79</v>
      </c>
    </row>
    <row r="110" spans="2:8" ht="9.75" outlineLevel="1">
      <c r="B110" s="1" t="s">
        <v>657</v>
      </c>
      <c r="C110" s="6" t="s">
        <v>658</v>
      </c>
      <c r="D110" s="6" t="s">
        <v>77</v>
      </c>
      <c r="E110" s="6" t="s">
        <v>659</v>
      </c>
      <c r="F110" s="6" t="s">
        <v>286</v>
      </c>
      <c r="G110" s="6" t="s">
        <v>661</v>
      </c>
      <c r="H110" s="6" t="s">
        <v>662</v>
      </c>
    </row>
    <row r="111" spans="2:8" ht="9.75" outlineLevel="1">
      <c r="B111" s="1" t="s">
        <v>663</v>
      </c>
      <c r="C111" s="222" t="s">
        <v>597</v>
      </c>
      <c r="D111" s="222" t="s">
        <v>597</v>
      </c>
      <c r="E111" s="218">
        <v>40360</v>
      </c>
      <c r="F111" s="223">
        <v>30</v>
      </c>
      <c r="G111" s="219">
        <v>19203000</v>
      </c>
      <c r="H111" s="12">
        <f>IF(F111="",0,PMT(wacc,F111,-G111))</f>
        <v>2802220.744291323</v>
      </c>
    </row>
    <row r="112" spans="2:8" ht="9.75" outlineLevel="1">
      <c r="B112" s="1" t="s">
        <v>664</v>
      </c>
      <c r="C112" s="222" t="s">
        <v>597</v>
      </c>
      <c r="D112" s="222" t="s">
        <v>597</v>
      </c>
      <c r="E112" s="218">
        <v>40543</v>
      </c>
      <c r="F112" s="223">
        <v>30</v>
      </c>
      <c r="G112" s="219">
        <v>16615000</v>
      </c>
      <c r="H112" s="12">
        <f aca="true" t="shared" si="3" ref="H112:H125">IF(F112="",0,PMT(wacc,F112,-G112))</f>
        <v>2424563.7487059482</v>
      </c>
    </row>
    <row r="113" spans="2:8" ht="9.75" outlineLevel="1">
      <c r="B113" s="1" t="s">
        <v>665</v>
      </c>
      <c r="C113" s="222" t="s">
        <v>597</v>
      </c>
      <c r="D113" s="222" t="s">
        <v>163</v>
      </c>
      <c r="E113" s="218">
        <v>40603</v>
      </c>
      <c r="F113" s="223">
        <v>30</v>
      </c>
      <c r="G113" s="219">
        <v>86000000</v>
      </c>
      <c r="H113" s="12">
        <f t="shared" si="3"/>
        <v>12549652.867211048</v>
      </c>
    </row>
    <row r="114" spans="2:8" ht="9.75" outlineLevel="1">
      <c r="B114" s="1" t="s">
        <v>666</v>
      </c>
      <c r="C114" s="222" t="s">
        <v>597</v>
      </c>
      <c r="D114" s="222" t="s">
        <v>597</v>
      </c>
      <c r="E114" s="218">
        <v>40725</v>
      </c>
      <c r="F114" s="223">
        <v>20</v>
      </c>
      <c r="G114" s="219">
        <v>80000000</v>
      </c>
      <c r="H114" s="12">
        <f t="shared" si="3"/>
        <v>12309338.49161476</v>
      </c>
    </row>
    <row r="115" spans="2:8" ht="9.75" outlineLevel="1">
      <c r="B115" s="1" t="s">
        <v>667</v>
      </c>
      <c r="C115" s="222"/>
      <c r="D115" s="222"/>
      <c r="E115" s="218"/>
      <c r="F115" s="223"/>
      <c r="G115" s="219"/>
      <c r="H115" s="12">
        <f t="shared" si="3"/>
        <v>0</v>
      </c>
    </row>
    <row r="116" spans="2:8" ht="9.75" outlineLevel="1">
      <c r="B116" s="1" t="s">
        <v>668</v>
      </c>
      <c r="C116" s="222"/>
      <c r="D116" s="222"/>
      <c r="E116" s="218"/>
      <c r="F116" s="223"/>
      <c r="G116" s="219"/>
      <c r="H116" s="12">
        <f t="shared" si="3"/>
        <v>0</v>
      </c>
    </row>
    <row r="117" spans="2:8" ht="9.75" outlineLevel="1">
      <c r="B117" s="1" t="s">
        <v>669</v>
      </c>
      <c r="C117" s="222"/>
      <c r="D117" s="222"/>
      <c r="E117" s="218"/>
      <c r="F117" s="223"/>
      <c r="G117" s="219"/>
      <c r="H117" s="12">
        <f t="shared" si="3"/>
        <v>0</v>
      </c>
    </row>
    <row r="118" spans="2:8" ht="9.75" outlineLevel="1">
      <c r="B118" s="1" t="s">
        <v>670</v>
      </c>
      <c r="C118" s="222"/>
      <c r="D118" s="222"/>
      <c r="E118" s="218"/>
      <c r="F118" s="223"/>
      <c r="G118" s="219"/>
      <c r="H118" s="12">
        <f t="shared" si="3"/>
        <v>0</v>
      </c>
    </row>
    <row r="119" spans="2:8" ht="9.75" outlineLevel="1">
      <c r="B119" s="1" t="s">
        <v>671</v>
      </c>
      <c r="C119" s="222"/>
      <c r="D119" s="222"/>
      <c r="E119" s="218"/>
      <c r="F119" s="223"/>
      <c r="G119" s="219"/>
      <c r="H119" s="12">
        <f t="shared" si="3"/>
        <v>0</v>
      </c>
    </row>
    <row r="120" spans="2:8" ht="9.75" outlineLevel="1">
      <c r="B120" s="1" t="s">
        <v>672</v>
      </c>
      <c r="C120" s="222"/>
      <c r="D120" s="222"/>
      <c r="E120" s="218"/>
      <c r="F120" s="223"/>
      <c r="G120" s="219"/>
      <c r="H120" s="12">
        <f t="shared" si="3"/>
        <v>0</v>
      </c>
    </row>
    <row r="121" spans="2:8" ht="9.75" outlineLevel="1">
      <c r="B121" s="1" t="s">
        <v>673</v>
      </c>
      <c r="C121" s="222"/>
      <c r="D121" s="222"/>
      <c r="E121" s="218"/>
      <c r="F121" s="223"/>
      <c r="G121" s="219"/>
      <c r="H121" s="12">
        <f t="shared" si="3"/>
        <v>0</v>
      </c>
    </row>
    <row r="122" spans="2:8" ht="9.75" outlineLevel="1">
      <c r="B122" s="1" t="s">
        <v>674</v>
      </c>
      <c r="C122" s="222"/>
      <c r="D122" s="222"/>
      <c r="E122" s="218"/>
      <c r="F122" s="223"/>
      <c r="G122" s="219"/>
      <c r="H122" s="12">
        <f t="shared" si="3"/>
        <v>0</v>
      </c>
    </row>
    <row r="123" spans="2:8" ht="9.75" outlineLevel="1">
      <c r="B123" s="1" t="s">
        <v>675</v>
      </c>
      <c r="C123" s="222"/>
      <c r="D123" s="222"/>
      <c r="E123" s="218"/>
      <c r="F123" s="223"/>
      <c r="G123" s="219"/>
      <c r="H123" s="12">
        <f t="shared" si="3"/>
        <v>0</v>
      </c>
    </row>
    <row r="124" spans="2:8" ht="9.75" outlineLevel="1">
      <c r="B124" s="1" t="s">
        <v>676</v>
      </c>
      <c r="C124" s="222"/>
      <c r="D124" s="222"/>
      <c r="E124" s="218"/>
      <c r="F124" s="223"/>
      <c r="G124" s="219"/>
      <c r="H124" s="12">
        <f t="shared" si="3"/>
        <v>0</v>
      </c>
    </row>
    <row r="125" spans="2:8" ht="9.75" outlineLevel="1">
      <c r="B125" s="1" t="s">
        <v>677</v>
      </c>
      <c r="C125" s="222"/>
      <c r="D125" s="222"/>
      <c r="E125" s="218"/>
      <c r="F125" s="223"/>
      <c r="G125" s="219"/>
      <c r="H125" s="12">
        <f t="shared" si="3"/>
        <v>0</v>
      </c>
    </row>
  </sheetData>
  <sheetProtection/>
  <dataValidations count="5">
    <dataValidation type="list" allowBlank="1" showInputMessage="1" showErrorMessage="1" sqref="C111:C125">
      <formula1>custlist</formula1>
    </dataValidation>
    <dataValidation type="list" allowBlank="1" showInputMessage="1" showErrorMessage="1" sqref="D92:D106">
      <formula1>"Equal Split,All"</formula1>
    </dataValidation>
    <dataValidation type="list" allowBlank="1" showInputMessage="1" showErrorMessage="1" sqref="D55:D73">
      <formula1>"Yes,No"</formula1>
    </dataValidation>
    <dataValidation type="list" allowBlank="1" showInputMessage="1" showErrorMessage="1" sqref="E92:E106">
      <formula1>"Train KM,Direct,Gross TKM"</formula1>
    </dataValidation>
    <dataValidation type="list" allowBlank="1" showInputMessage="1" showErrorMessage="1" sqref="D111:D125">
      <formula1>raillist</formula1>
    </dataValidation>
  </dataValidations>
  <printOptions/>
  <pageMargins left="0.75" right="0.75" top="1" bottom="1" header="0.5" footer="0.5"/>
  <pageSetup horizontalDpi="600" verticalDpi="600" orientation="portrait" paperSize="9" r:id="rId1"/>
  <headerFooter alignWithMargins="0">
    <oddFooter>&amp;L&amp;F&amp;R&amp;P</oddFooter>
  </headerFooter>
</worksheet>
</file>

<file path=xl/worksheets/sheet6.xml><?xml version="1.0" encoding="utf-8"?>
<worksheet xmlns="http://schemas.openxmlformats.org/spreadsheetml/2006/main" xmlns:r="http://schemas.openxmlformats.org/officeDocument/2006/relationships">
  <sheetPr>
    <tabColor indexed="44"/>
  </sheetPr>
  <dimension ref="A1:AZ29"/>
  <sheetViews>
    <sheetView zoomScale="85" zoomScaleNormal="85" zoomScalePageLayoutView="0" workbookViewId="0" topLeftCell="A1">
      <selection activeCell="I43" sqref="I43"/>
    </sheetView>
  </sheetViews>
  <sheetFormatPr defaultColWidth="9.140625" defaultRowHeight="12.75" outlineLevelCol="1"/>
  <cols>
    <col min="1" max="1" width="4.57421875" style="1" bestFit="1" customWidth="1"/>
    <col min="2" max="2" width="30.421875" style="1" bestFit="1" customWidth="1"/>
    <col min="3" max="10" width="10.57421875" style="1" bestFit="1" customWidth="1"/>
    <col min="11" max="11" width="4.57421875" style="1" customWidth="1"/>
    <col min="12" max="12" width="22.57421875" style="1" customWidth="1" outlineLevel="1"/>
    <col min="13" max="13" width="5.28125" style="1" customWidth="1" outlineLevel="1"/>
    <col min="14" max="20" width="10.57421875" style="1" customWidth="1" outlineLevel="1"/>
    <col min="21" max="21" width="9.140625" style="1" customWidth="1"/>
    <col min="22" max="22" width="22.57421875" style="1" customWidth="1" outlineLevel="1"/>
    <col min="23" max="23" width="10.00390625" style="1" customWidth="1" outlineLevel="1"/>
    <col min="24" max="30" width="10.57421875" style="1" customWidth="1" outlineLevel="1"/>
    <col min="31" max="31" width="9.140625" style="1" customWidth="1"/>
    <col min="32" max="32" width="22.57421875" style="1" customWidth="1" outlineLevel="1"/>
    <col min="33" max="33" width="14.28125" style="1" customWidth="1" outlineLevel="1"/>
    <col min="34" max="34" width="11.57421875" style="1" customWidth="1" outlineLevel="1"/>
    <col min="35" max="40" width="10.7109375" style="1" customWidth="1" outlineLevel="1"/>
    <col min="41" max="41" width="14.28125" style="1" customWidth="1" outlineLevel="1"/>
    <col min="42" max="42" width="9.140625" style="1" customWidth="1"/>
    <col min="43" max="43" width="22.57421875" style="1" customWidth="1" outlineLevel="1"/>
    <col min="44" max="44" width="7.00390625" style="1" customWidth="1" outlineLevel="1"/>
    <col min="45" max="51" width="10.57421875" style="1" customWidth="1" outlineLevel="1"/>
    <col min="52" max="52" width="7.00390625" style="1" customWidth="1" outlineLevel="1"/>
    <col min="53" max="16384" width="9.140625" style="1" customWidth="1"/>
  </cols>
  <sheetData>
    <row r="1" ht="9.75">
      <c r="A1" s="1" t="str">
        <f>IF(COUNTIF(M29:T29,"Error")&gt;0,"Error","All Ok")</f>
        <v>All Ok</v>
      </c>
    </row>
    <row r="2" spans="2:3" ht="12">
      <c r="B2" s="14" t="str">
        <f>modelname</f>
        <v>3rd Party Access Model</v>
      </c>
      <c r="C2" s="192" t="str">
        <f>HYPERLINK(Contents!$A$1,"Back to Contents Page")</f>
        <v>Back to Contents Page</v>
      </c>
    </row>
    <row r="3" spans="1:2" ht="11.25">
      <c r="A3" s="24"/>
      <c r="B3" s="190" t="s">
        <v>325</v>
      </c>
    </row>
    <row r="4" ht="9.75">
      <c r="B4" s="171" t="str">
        <f>Contents!D36</f>
        <v>This sheet is used to control what segments each of the customers uses on the network</v>
      </c>
    </row>
    <row r="6" spans="2:11" ht="9.75">
      <c r="B6" s="2" t="s">
        <v>82</v>
      </c>
      <c r="K6" s="2"/>
    </row>
    <row r="7" spans="2:52" ht="9.75">
      <c r="B7" s="171" t="str">
        <f>Contents!D37</f>
        <v>Customer switching in relation to the rail network</v>
      </c>
      <c r="C7" s="6" t="str">
        <f>cust1</f>
        <v>FMG - CB</v>
      </c>
      <c r="D7" s="6" t="str">
        <f>cust2</f>
        <v>Customer 2</v>
      </c>
      <c r="E7" s="6" t="str">
        <f>cust3</f>
        <v>Customer 3</v>
      </c>
      <c r="F7" s="6" t="str">
        <f>cust4</f>
        <v>Customer 4</v>
      </c>
      <c r="G7" s="6" t="str">
        <f>cust5</f>
        <v>Customer 5</v>
      </c>
      <c r="H7" s="6" t="str">
        <f>cust6</f>
        <v>Customer 6</v>
      </c>
      <c r="I7" s="6" t="str">
        <f>cust7</f>
        <v>Customer 7</v>
      </c>
      <c r="J7" s="6" t="str">
        <f>cust8</f>
        <v>Customer 8</v>
      </c>
      <c r="K7" s="2"/>
      <c r="L7" s="2" t="s">
        <v>82</v>
      </c>
      <c r="M7" s="6" t="str">
        <f>cust1</f>
        <v>FMG - CB</v>
      </c>
      <c r="N7" s="6" t="str">
        <f>cust2</f>
        <v>Customer 2</v>
      </c>
      <c r="O7" s="6" t="str">
        <f>cust3</f>
        <v>Customer 3</v>
      </c>
      <c r="P7" s="6" t="str">
        <f>cust4</f>
        <v>Customer 4</v>
      </c>
      <c r="Q7" s="6" t="str">
        <f>cust5</f>
        <v>Customer 5</v>
      </c>
      <c r="R7" s="6" t="str">
        <f>cust6</f>
        <v>Customer 6</v>
      </c>
      <c r="S7" s="6" t="str">
        <f>cust7</f>
        <v>Customer 7</v>
      </c>
      <c r="T7" s="6" t="str">
        <f>cust8</f>
        <v>Customer 8</v>
      </c>
      <c r="V7" s="2" t="s">
        <v>93</v>
      </c>
      <c r="W7" s="6" t="str">
        <f>cust1</f>
        <v>FMG - CB</v>
      </c>
      <c r="X7" s="6" t="str">
        <f>cust2</f>
        <v>Customer 2</v>
      </c>
      <c r="Y7" s="6" t="str">
        <f>cust3</f>
        <v>Customer 3</v>
      </c>
      <c r="Z7" s="6" t="str">
        <f>cust4</f>
        <v>Customer 4</v>
      </c>
      <c r="AA7" s="6" t="str">
        <f>cust5</f>
        <v>Customer 5</v>
      </c>
      <c r="AB7" s="6" t="str">
        <f>cust6</f>
        <v>Customer 6</v>
      </c>
      <c r="AC7" s="6" t="str">
        <f>cust7</f>
        <v>Customer 7</v>
      </c>
      <c r="AD7" s="6" t="str">
        <f>cust8</f>
        <v>Customer 8</v>
      </c>
      <c r="AF7" s="2" t="s">
        <v>289</v>
      </c>
      <c r="AG7" s="6" t="str">
        <f>cust1</f>
        <v>FMG - CB</v>
      </c>
      <c r="AH7" s="6" t="str">
        <f>cust2</f>
        <v>Customer 2</v>
      </c>
      <c r="AI7" s="6" t="str">
        <f>cust3</f>
        <v>Customer 3</v>
      </c>
      <c r="AJ7" s="6" t="str">
        <f>cust4</f>
        <v>Customer 4</v>
      </c>
      <c r="AK7" s="6" t="str">
        <f>cust5</f>
        <v>Customer 5</v>
      </c>
      <c r="AL7" s="6" t="str">
        <f>cust6</f>
        <v>Customer 6</v>
      </c>
      <c r="AM7" s="6" t="str">
        <f>cust7</f>
        <v>Customer 7</v>
      </c>
      <c r="AN7" s="6" t="str">
        <f>cust8</f>
        <v>Customer 8</v>
      </c>
      <c r="AO7" s="6" t="s">
        <v>94</v>
      </c>
      <c r="AQ7" s="2" t="s">
        <v>290</v>
      </c>
      <c r="AR7" s="6" t="str">
        <f>cust1</f>
        <v>FMG - CB</v>
      </c>
      <c r="AS7" s="6" t="str">
        <f>cust2</f>
        <v>Customer 2</v>
      </c>
      <c r="AT7" s="6" t="str">
        <f>cust3</f>
        <v>Customer 3</v>
      </c>
      <c r="AU7" s="6" t="str">
        <f>cust4</f>
        <v>Customer 4</v>
      </c>
      <c r="AV7" s="6" t="str">
        <f>cust5</f>
        <v>Customer 5</v>
      </c>
      <c r="AW7" s="6" t="str">
        <f>cust6</f>
        <v>Customer 6</v>
      </c>
      <c r="AX7" s="6" t="str">
        <f>cust7</f>
        <v>Customer 7</v>
      </c>
      <c r="AY7" s="6" t="str">
        <f>cust8</f>
        <v>Customer 8</v>
      </c>
      <c r="AZ7" s="6" t="s">
        <v>94</v>
      </c>
    </row>
    <row r="8" spans="2:52" ht="9.75">
      <c r="B8" s="1" t="str">
        <f>rail1</f>
        <v>Cloudbreak to Port Dumper</v>
      </c>
      <c r="C8" s="222" t="s">
        <v>81</v>
      </c>
      <c r="D8" s="222" t="s">
        <v>83</v>
      </c>
      <c r="E8" s="222" t="s">
        <v>83</v>
      </c>
      <c r="F8" s="222"/>
      <c r="G8" s="222"/>
      <c r="H8" s="222"/>
      <c r="I8" s="222"/>
      <c r="J8" s="222"/>
      <c r="L8" s="1" t="str">
        <f>rail1</f>
        <v>Cloudbreak to Port Dumper</v>
      </c>
      <c r="M8" s="6" t="str">
        <f aca="true" t="shared" si="0" ref="M8:M27">IF(AND(VLOOKUP($B8,raildata,2,FALSE)="Yes",C8="On"),"On","Off")</f>
        <v>On</v>
      </c>
      <c r="N8" s="6" t="str">
        <f aca="true" t="shared" si="1" ref="N8:N27">IF(AND(VLOOKUP($B8,raildata,2,FALSE)="Yes",D8="On"),"On","Off")</f>
        <v>Off</v>
      </c>
      <c r="O8" s="6" t="str">
        <f aca="true" t="shared" si="2" ref="O8:O27">IF(AND(VLOOKUP($B8,raildata,2,FALSE)="Yes",E8="On"),"On","Off")</f>
        <v>Off</v>
      </c>
      <c r="P8" s="6" t="str">
        <f aca="true" t="shared" si="3" ref="P8:P27">IF(AND(VLOOKUP($B8,raildata,2,FALSE)="Yes",F8="On"),"On","Off")</f>
        <v>Off</v>
      </c>
      <c r="Q8" s="6" t="str">
        <f aca="true" t="shared" si="4" ref="Q8:Q27">IF(AND(VLOOKUP($B8,raildata,2,FALSE)="Yes",G8="On"),"On","Off")</f>
        <v>Off</v>
      </c>
      <c r="R8" s="6" t="str">
        <f aca="true" t="shared" si="5" ref="R8:R27">IF(AND(VLOOKUP($B8,raildata,2,FALSE)="Yes",H8="On"),"On","Off")</f>
        <v>Off</v>
      </c>
      <c r="S8" s="6" t="str">
        <f aca="true" t="shared" si="6" ref="S8:S27">IF(AND(VLOOKUP($B8,raildata,2,FALSE)="Yes",I8="On"),"On","Off")</f>
        <v>Off</v>
      </c>
      <c r="T8" s="6" t="str">
        <f aca="true" t="shared" si="7" ref="T8:T27">IF(AND(VLOOKUP($B8,raildata,2,FALSE)="Yes",J8="On"),"On","Off")</f>
        <v>Off</v>
      </c>
      <c r="V8" s="1" t="str">
        <f>rail1</f>
        <v>Cloudbreak to Port Dumper</v>
      </c>
      <c r="W8" s="6">
        <f aca="true" t="shared" si="8" ref="W8:W27">IF(M8="On",1,0)*VLOOKUP($V8,raildata,3,FALSE)</f>
        <v>273534</v>
      </c>
      <c r="X8" s="6">
        <f aca="true" t="shared" si="9" ref="X8:X27">IF(N8="On",1,0)*VLOOKUP($V8,raildata,3,FALSE)</f>
        <v>0</v>
      </c>
      <c r="Y8" s="6">
        <f aca="true" t="shared" si="10" ref="Y8:Y27">IF(O8="On",1,0)*VLOOKUP($V8,raildata,3,FALSE)</f>
        <v>0</v>
      </c>
      <c r="Z8" s="6">
        <f aca="true" t="shared" si="11" ref="Z8:Z27">IF(P8="On",1,0)*VLOOKUP($V8,raildata,3,FALSE)</f>
        <v>0</v>
      </c>
      <c r="AA8" s="6">
        <f aca="true" t="shared" si="12" ref="AA8:AA27">IF(Q8="On",1,0)*VLOOKUP($V8,raildata,3,FALSE)</f>
        <v>0</v>
      </c>
      <c r="AB8" s="6">
        <f aca="true" t="shared" si="13" ref="AB8:AB27">IF(R8="On",1,0)*VLOOKUP($V8,raildata,3,FALSE)</f>
        <v>0</v>
      </c>
      <c r="AC8" s="6">
        <f aca="true" t="shared" si="14" ref="AC8:AC27">IF(S8="On",1,0)*VLOOKUP($V8,raildata,3,FALSE)</f>
        <v>0</v>
      </c>
      <c r="AD8" s="6">
        <f aca="true" t="shared" si="15" ref="AD8:AD27">IF(T8="On",1,0)*VLOOKUP($V8,raildata,3,FALSE)</f>
        <v>0</v>
      </c>
      <c r="AF8" s="1" t="str">
        <f>rail1</f>
        <v>Cloudbreak to Port Dumper</v>
      </c>
      <c r="AG8" s="174">
        <f aca="true" t="shared" si="16" ref="AG8:AG27">IF(M8="On",1,0)*VLOOKUP(AG$7,custdata,2,FALSE)</f>
        <v>40000000</v>
      </c>
      <c r="AH8" s="174">
        <f aca="true" t="shared" si="17" ref="AH8:AH27">IF(N8="On",1,0)*VLOOKUP(AH$7,custdata,2,FALSE)</f>
        <v>0</v>
      </c>
      <c r="AI8" s="174">
        <f aca="true" t="shared" si="18" ref="AI8:AI27">IF(O8="On",1,0)*VLOOKUP(AI$7,custdata,2,FALSE)</f>
        <v>0</v>
      </c>
      <c r="AJ8" s="174">
        <f aca="true" t="shared" si="19" ref="AJ8:AJ27">IF(P8="On",1,0)*VLOOKUP(AJ$7,custdata,2,FALSE)</f>
        <v>0</v>
      </c>
      <c r="AK8" s="174">
        <f aca="true" t="shared" si="20" ref="AK8:AK27">IF(Q8="On",1,0)*VLOOKUP(AK$7,custdata,2,FALSE)</f>
        <v>0</v>
      </c>
      <c r="AL8" s="174">
        <f aca="true" t="shared" si="21" ref="AL8:AL27">IF(R8="On",1,0)*VLOOKUP(AL$7,custdata,2,FALSE)</f>
        <v>0</v>
      </c>
      <c r="AM8" s="174">
        <f aca="true" t="shared" si="22" ref="AM8:AM27">IF(S8="On",1,0)*VLOOKUP(AM$7,custdata,2,FALSE)</f>
        <v>0</v>
      </c>
      <c r="AN8" s="174">
        <f aca="true" t="shared" si="23" ref="AN8:AN27">IF(T8="On",1,0)*VLOOKUP(AN$7,custdata,2,FALSE)</f>
        <v>0</v>
      </c>
      <c r="AO8" s="8">
        <f>SUM(AG8:AN8)</f>
        <v>40000000</v>
      </c>
      <c r="AQ8" s="1" t="str">
        <f>rail1</f>
        <v>Cloudbreak to Port Dumper</v>
      </c>
      <c r="AR8" s="174">
        <f aca="true" t="shared" si="24" ref="AR8:AR27">IF(M8="On",1,0)*VLOOKUP(AR$7,custdata,3,FALSE)</f>
        <v>1217</v>
      </c>
      <c r="AS8" s="174">
        <f aca="true" t="shared" si="25" ref="AS8:AS27">IF(N8="On",1,0)*VLOOKUP(AS$7,custdata,3,FALSE)</f>
        <v>0</v>
      </c>
      <c r="AT8" s="174">
        <f aca="true" t="shared" si="26" ref="AT8:AT27">IF(O8="On",1,0)*VLOOKUP(AT$7,custdata,3,FALSE)</f>
        <v>0</v>
      </c>
      <c r="AU8" s="174">
        <f aca="true" t="shared" si="27" ref="AU8:AU27">IF(P8="On",1,0)*VLOOKUP(AU$7,custdata,3,FALSE)</f>
        <v>0</v>
      </c>
      <c r="AV8" s="174">
        <f aca="true" t="shared" si="28" ref="AV8:AV27">IF(Q8="On",1,0)*VLOOKUP(AV$7,custdata,3,FALSE)</f>
        <v>0</v>
      </c>
      <c r="AW8" s="174">
        <f aca="true" t="shared" si="29" ref="AW8:AW27">IF(R8="On",1,0)*VLOOKUP(AW$7,custdata,3,FALSE)</f>
        <v>0</v>
      </c>
      <c r="AX8" s="174">
        <f aca="true" t="shared" si="30" ref="AX8:AX27">IF(S8="On",1,0)*VLOOKUP(AX$7,custdata,3,FALSE)</f>
        <v>0</v>
      </c>
      <c r="AY8" s="174">
        <f aca="true" t="shared" si="31" ref="AY8:AY27">IF(T8="On",1,0)*VLOOKUP(AY$7,custdata,3,FALSE)</f>
        <v>0</v>
      </c>
      <c r="AZ8" s="8">
        <f>SUM(AR8:AY8)</f>
        <v>1217</v>
      </c>
    </row>
    <row r="9" spans="2:52" ht="9.75">
      <c r="B9" s="1" t="str">
        <f>rail2</f>
        <v>Route 2</v>
      </c>
      <c r="C9" s="222" t="s">
        <v>83</v>
      </c>
      <c r="D9" s="222" t="s">
        <v>83</v>
      </c>
      <c r="E9" s="222" t="s">
        <v>83</v>
      </c>
      <c r="F9" s="222"/>
      <c r="G9" s="222"/>
      <c r="H9" s="222"/>
      <c r="I9" s="222"/>
      <c r="J9" s="222"/>
      <c r="L9" s="1" t="str">
        <f>rail2</f>
        <v>Route 2</v>
      </c>
      <c r="M9" s="6" t="str">
        <f t="shared" si="0"/>
        <v>Off</v>
      </c>
      <c r="N9" s="6" t="str">
        <f t="shared" si="1"/>
        <v>Off</v>
      </c>
      <c r="O9" s="6" t="str">
        <f t="shared" si="2"/>
        <v>Off</v>
      </c>
      <c r="P9" s="6" t="str">
        <f t="shared" si="3"/>
        <v>Off</v>
      </c>
      <c r="Q9" s="6" t="str">
        <f t="shared" si="4"/>
        <v>Off</v>
      </c>
      <c r="R9" s="6" t="str">
        <f t="shared" si="5"/>
        <v>Off</v>
      </c>
      <c r="S9" s="6" t="str">
        <f t="shared" si="6"/>
        <v>Off</v>
      </c>
      <c r="T9" s="6" t="str">
        <f t="shared" si="7"/>
        <v>Off</v>
      </c>
      <c r="V9" s="1" t="str">
        <f>rail2</f>
        <v>Route 2</v>
      </c>
      <c r="W9" s="6">
        <f t="shared" si="8"/>
        <v>0</v>
      </c>
      <c r="X9" s="6">
        <f t="shared" si="9"/>
        <v>0</v>
      </c>
      <c r="Y9" s="6">
        <f t="shared" si="10"/>
        <v>0</v>
      </c>
      <c r="Z9" s="6">
        <f t="shared" si="11"/>
        <v>0</v>
      </c>
      <c r="AA9" s="6">
        <f t="shared" si="12"/>
        <v>0</v>
      </c>
      <c r="AB9" s="6">
        <f t="shared" si="13"/>
        <v>0</v>
      </c>
      <c r="AC9" s="6">
        <f t="shared" si="14"/>
        <v>0</v>
      </c>
      <c r="AD9" s="6">
        <f t="shared" si="15"/>
        <v>0</v>
      </c>
      <c r="AF9" s="1" t="str">
        <f>rail2</f>
        <v>Route 2</v>
      </c>
      <c r="AG9" s="174">
        <f t="shared" si="16"/>
        <v>0</v>
      </c>
      <c r="AH9" s="174">
        <f t="shared" si="17"/>
        <v>0</v>
      </c>
      <c r="AI9" s="174">
        <f t="shared" si="18"/>
        <v>0</v>
      </c>
      <c r="AJ9" s="174">
        <f t="shared" si="19"/>
        <v>0</v>
      </c>
      <c r="AK9" s="174">
        <f t="shared" si="20"/>
        <v>0</v>
      </c>
      <c r="AL9" s="174">
        <f t="shared" si="21"/>
        <v>0</v>
      </c>
      <c r="AM9" s="174">
        <f t="shared" si="22"/>
        <v>0</v>
      </c>
      <c r="AN9" s="174">
        <f t="shared" si="23"/>
        <v>0</v>
      </c>
      <c r="AO9" s="8">
        <f aca="true" t="shared" si="32" ref="AO9:AO27">SUM(AG9:AN9)</f>
        <v>0</v>
      </c>
      <c r="AQ9" s="1" t="str">
        <f>rail2</f>
        <v>Route 2</v>
      </c>
      <c r="AR9" s="174">
        <f t="shared" si="24"/>
        <v>0</v>
      </c>
      <c r="AS9" s="174">
        <f t="shared" si="25"/>
        <v>0</v>
      </c>
      <c r="AT9" s="174">
        <f t="shared" si="26"/>
        <v>0</v>
      </c>
      <c r="AU9" s="174">
        <f t="shared" si="27"/>
        <v>0</v>
      </c>
      <c r="AV9" s="174">
        <f t="shared" si="28"/>
        <v>0</v>
      </c>
      <c r="AW9" s="174">
        <f t="shared" si="29"/>
        <v>0</v>
      </c>
      <c r="AX9" s="174">
        <f t="shared" si="30"/>
        <v>0</v>
      </c>
      <c r="AY9" s="174">
        <f t="shared" si="31"/>
        <v>0</v>
      </c>
      <c r="AZ9" s="8">
        <f aca="true" t="shared" si="33" ref="AZ9:AZ27">SUM(AR9:AY9)</f>
        <v>0</v>
      </c>
    </row>
    <row r="10" spans="2:52" ht="9.75">
      <c r="B10" s="1" t="str">
        <f>rail3</f>
        <v>Route 3</v>
      </c>
      <c r="C10" s="222" t="s">
        <v>83</v>
      </c>
      <c r="D10" s="222" t="s">
        <v>83</v>
      </c>
      <c r="E10" s="222" t="s">
        <v>83</v>
      </c>
      <c r="F10" s="222"/>
      <c r="G10" s="222"/>
      <c r="H10" s="222"/>
      <c r="I10" s="222"/>
      <c r="J10" s="222"/>
      <c r="L10" s="1" t="str">
        <f>rail3</f>
        <v>Route 3</v>
      </c>
      <c r="M10" s="6" t="str">
        <f t="shared" si="0"/>
        <v>Off</v>
      </c>
      <c r="N10" s="6" t="str">
        <f t="shared" si="1"/>
        <v>Off</v>
      </c>
      <c r="O10" s="6" t="str">
        <f t="shared" si="2"/>
        <v>Off</v>
      </c>
      <c r="P10" s="6" t="str">
        <f t="shared" si="3"/>
        <v>Off</v>
      </c>
      <c r="Q10" s="6" t="str">
        <f t="shared" si="4"/>
        <v>Off</v>
      </c>
      <c r="R10" s="6" t="str">
        <f t="shared" si="5"/>
        <v>Off</v>
      </c>
      <c r="S10" s="6" t="str">
        <f t="shared" si="6"/>
        <v>Off</v>
      </c>
      <c r="T10" s="6" t="str">
        <f t="shared" si="7"/>
        <v>Off</v>
      </c>
      <c r="V10" s="1" t="str">
        <f>rail3</f>
        <v>Route 3</v>
      </c>
      <c r="W10" s="6">
        <f t="shared" si="8"/>
        <v>0</v>
      </c>
      <c r="X10" s="6">
        <f t="shared" si="9"/>
        <v>0</v>
      </c>
      <c r="Y10" s="6">
        <f t="shared" si="10"/>
        <v>0</v>
      </c>
      <c r="Z10" s="6">
        <f t="shared" si="11"/>
        <v>0</v>
      </c>
      <c r="AA10" s="6">
        <f t="shared" si="12"/>
        <v>0</v>
      </c>
      <c r="AB10" s="6">
        <f t="shared" si="13"/>
        <v>0</v>
      </c>
      <c r="AC10" s="6">
        <f t="shared" si="14"/>
        <v>0</v>
      </c>
      <c r="AD10" s="6">
        <f t="shared" si="15"/>
        <v>0</v>
      </c>
      <c r="AF10" s="1" t="str">
        <f>rail3</f>
        <v>Route 3</v>
      </c>
      <c r="AG10" s="174">
        <f t="shared" si="16"/>
        <v>0</v>
      </c>
      <c r="AH10" s="174">
        <f t="shared" si="17"/>
        <v>0</v>
      </c>
      <c r="AI10" s="174">
        <f t="shared" si="18"/>
        <v>0</v>
      </c>
      <c r="AJ10" s="174">
        <f t="shared" si="19"/>
        <v>0</v>
      </c>
      <c r="AK10" s="174">
        <f t="shared" si="20"/>
        <v>0</v>
      </c>
      <c r="AL10" s="174">
        <f t="shared" si="21"/>
        <v>0</v>
      </c>
      <c r="AM10" s="174">
        <f t="shared" si="22"/>
        <v>0</v>
      </c>
      <c r="AN10" s="174">
        <f t="shared" si="23"/>
        <v>0</v>
      </c>
      <c r="AO10" s="8">
        <f t="shared" si="32"/>
        <v>0</v>
      </c>
      <c r="AQ10" s="1" t="str">
        <f>rail3</f>
        <v>Route 3</v>
      </c>
      <c r="AR10" s="174">
        <f t="shared" si="24"/>
        <v>0</v>
      </c>
      <c r="AS10" s="174">
        <f t="shared" si="25"/>
        <v>0</v>
      </c>
      <c r="AT10" s="174">
        <f t="shared" si="26"/>
        <v>0</v>
      </c>
      <c r="AU10" s="174">
        <f t="shared" si="27"/>
        <v>0</v>
      </c>
      <c r="AV10" s="174">
        <f t="shared" si="28"/>
        <v>0</v>
      </c>
      <c r="AW10" s="174">
        <f t="shared" si="29"/>
        <v>0</v>
      </c>
      <c r="AX10" s="174">
        <f t="shared" si="30"/>
        <v>0</v>
      </c>
      <c r="AY10" s="174">
        <f t="shared" si="31"/>
        <v>0</v>
      </c>
      <c r="AZ10" s="8">
        <f t="shared" si="33"/>
        <v>0</v>
      </c>
    </row>
    <row r="11" spans="2:52" ht="9.75">
      <c r="B11" s="1" t="str">
        <f>rail4</f>
        <v>Route 4</v>
      </c>
      <c r="C11" s="222" t="s">
        <v>83</v>
      </c>
      <c r="D11" s="222" t="s">
        <v>83</v>
      </c>
      <c r="E11" s="222" t="s">
        <v>83</v>
      </c>
      <c r="F11" s="222"/>
      <c r="G11" s="222"/>
      <c r="H11" s="222"/>
      <c r="I11" s="222"/>
      <c r="J11" s="222"/>
      <c r="L11" s="1" t="str">
        <f>rail4</f>
        <v>Route 4</v>
      </c>
      <c r="M11" s="6" t="str">
        <f t="shared" si="0"/>
        <v>Off</v>
      </c>
      <c r="N11" s="6" t="str">
        <f t="shared" si="1"/>
        <v>Off</v>
      </c>
      <c r="O11" s="6" t="str">
        <f t="shared" si="2"/>
        <v>Off</v>
      </c>
      <c r="P11" s="6" t="str">
        <f t="shared" si="3"/>
        <v>Off</v>
      </c>
      <c r="Q11" s="6" t="str">
        <f t="shared" si="4"/>
        <v>Off</v>
      </c>
      <c r="R11" s="6" t="str">
        <f t="shared" si="5"/>
        <v>Off</v>
      </c>
      <c r="S11" s="6" t="str">
        <f t="shared" si="6"/>
        <v>Off</v>
      </c>
      <c r="T11" s="6" t="str">
        <f t="shared" si="7"/>
        <v>Off</v>
      </c>
      <c r="V11" s="1" t="str">
        <f>rail4</f>
        <v>Route 4</v>
      </c>
      <c r="W11" s="6">
        <f t="shared" si="8"/>
        <v>0</v>
      </c>
      <c r="X11" s="6">
        <f t="shared" si="9"/>
        <v>0</v>
      </c>
      <c r="Y11" s="6">
        <f t="shared" si="10"/>
        <v>0</v>
      </c>
      <c r="Z11" s="6">
        <f t="shared" si="11"/>
        <v>0</v>
      </c>
      <c r="AA11" s="6">
        <f t="shared" si="12"/>
        <v>0</v>
      </c>
      <c r="AB11" s="6">
        <f t="shared" si="13"/>
        <v>0</v>
      </c>
      <c r="AC11" s="6">
        <f t="shared" si="14"/>
        <v>0</v>
      </c>
      <c r="AD11" s="6">
        <f t="shared" si="15"/>
        <v>0</v>
      </c>
      <c r="AF11" s="1" t="str">
        <f>rail4</f>
        <v>Route 4</v>
      </c>
      <c r="AG11" s="174">
        <f t="shared" si="16"/>
        <v>0</v>
      </c>
      <c r="AH11" s="174">
        <f t="shared" si="17"/>
        <v>0</v>
      </c>
      <c r="AI11" s="174">
        <f t="shared" si="18"/>
        <v>0</v>
      </c>
      <c r="AJ11" s="174">
        <f t="shared" si="19"/>
        <v>0</v>
      </c>
      <c r="AK11" s="174">
        <f t="shared" si="20"/>
        <v>0</v>
      </c>
      <c r="AL11" s="174">
        <f t="shared" si="21"/>
        <v>0</v>
      </c>
      <c r="AM11" s="174">
        <f t="shared" si="22"/>
        <v>0</v>
      </c>
      <c r="AN11" s="174">
        <f t="shared" si="23"/>
        <v>0</v>
      </c>
      <c r="AO11" s="8">
        <f t="shared" si="32"/>
        <v>0</v>
      </c>
      <c r="AQ11" s="1" t="str">
        <f>rail4</f>
        <v>Route 4</v>
      </c>
      <c r="AR11" s="174">
        <f t="shared" si="24"/>
        <v>0</v>
      </c>
      <c r="AS11" s="174">
        <f t="shared" si="25"/>
        <v>0</v>
      </c>
      <c r="AT11" s="174">
        <f t="shared" si="26"/>
        <v>0</v>
      </c>
      <c r="AU11" s="174">
        <f t="shared" si="27"/>
        <v>0</v>
      </c>
      <c r="AV11" s="174">
        <f t="shared" si="28"/>
        <v>0</v>
      </c>
      <c r="AW11" s="174">
        <f t="shared" si="29"/>
        <v>0</v>
      </c>
      <c r="AX11" s="174">
        <f t="shared" si="30"/>
        <v>0</v>
      </c>
      <c r="AY11" s="174">
        <f t="shared" si="31"/>
        <v>0</v>
      </c>
      <c r="AZ11" s="8">
        <f t="shared" si="33"/>
        <v>0</v>
      </c>
    </row>
    <row r="12" spans="2:52" ht="9.75">
      <c r="B12" s="1" t="str">
        <f>rail5</f>
        <v>Route 5</v>
      </c>
      <c r="C12" s="222" t="s">
        <v>83</v>
      </c>
      <c r="D12" s="222" t="s">
        <v>83</v>
      </c>
      <c r="E12" s="222" t="s">
        <v>83</v>
      </c>
      <c r="F12" s="222"/>
      <c r="G12" s="222"/>
      <c r="H12" s="222"/>
      <c r="I12" s="222"/>
      <c r="J12" s="222"/>
      <c r="L12" s="1" t="str">
        <f>rail5</f>
        <v>Route 5</v>
      </c>
      <c r="M12" s="6" t="str">
        <f t="shared" si="0"/>
        <v>Off</v>
      </c>
      <c r="N12" s="6" t="str">
        <f t="shared" si="1"/>
        <v>Off</v>
      </c>
      <c r="O12" s="6" t="str">
        <f t="shared" si="2"/>
        <v>Off</v>
      </c>
      <c r="P12" s="6" t="str">
        <f t="shared" si="3"/>
        <v>Off</v>
      </c>
      <c r="Q12" s="6" t="str">
        <f t="shared" si="4"/>
        <v>Off</v>
      </c>
      <c r="R12" s="6" t="str">
        <f t="shared" si="5"/>
        <v>Off</v>
      </c>
      <c r="S12" s="6" t="str">
        <f t="shared" si="6"/>
        <v>Off</v>
      </c>
      <c r="T12" s="6" t="str">
        <f t="shared" si="7"/>
        <v>Off</v>
      </c>
      <c r="V12" s="1" t="str">
        <f>rail5</f>
        <v>Route 5</v>
      </c>
      <c r="W12" s="6">
        <f t="shared" si="8"/>
        <v>0</v>
      </c>
      <c r="X12" s="6">
        <f t="shared" si="9"/>
        <v>0</v>
      </c>
      <c r="Y12" s="6">
        <f t="shared" si="10"/>
        <v>0</v>
      </c>
      <c r="Z12" s="6">
        <f t="shared" si="11"/>
        <v>0</v>
      </c>
      <c r="AA12" s="6">
        <f t="shared" si="12"/>
        <v>0</v>
      </c>
      <c r="AB12" s="6">
        <f t="shared" si="13"/>
        <v>0</v>
      </c>
      <c r="AC12" s="6">
        <f t="shared" si="14"/>
        <v>0</v>
      </c>
      <c r="AD12" s="6">
        <f t="shared" si="15"/>
        <v>0</v>
      </c>
      <c r="AF12" s="1" t="str">
        <f>rail5</f>
        <v>Route 5</v>
      </c>
      <c r="AG12" s="174">
        <f t="shared" si="16"/>
        <v>0</v>
      </c>
      <c r="AH12" s="174">
        <f t="shared" si="17"/>
        <v>0</v>
      </c>
      <c r="AI12" s="174">
        <f t="shared" si="18"/>
        <v>0</v>
      </c>
      <c r="AJ12" s="174">
        <f t="shared" si="19"/>
        <v>0</v>
      </c>
      <c r="AK12" s="174">
        <f t="shared" si="20"/>
        <v>0</v>
      </c>
      <c r="AL12" s="174">
        <f t="shared" si="21"/>
        <v>0</v>
      </c>
      <c r="AM12" s="174">
        <f t="shared" si="22"/>
        <v>0</v>
      </c>
      <c r="AN12" s="174">
        <f t="shared" si="23"/>
        <v>0</v>
      </c>
      <c r="AO12" s="8">
        <f t="shared" si="32"/>
        <v>0</v>
      </c>
      <c r="AQ12" s="1" t="str">
        <f>rail5</f>
        <v>Route 5</v>
      </c>
      <c r="AR12" s="174">
        <f t="shared" si="24"/>
        <v>0</v>
      </c>
      <c r="AS12" s="174">
        <f t="shared" si="25"/>
        <v>0</v>
      </c>
      <c r="AT12" s="174">
        <f t="shared" si="26"/>
        <v>0</v>
      </c>
      <c r="AU12" s="174">
        <f t="shared" si="27"/>
        <v>0</v>
      </c>
      <c r="AV12" s="174">
        <f t="shared" si="28"/>
        <v>0</v>
      </c>
      <c r="AW12" s="174">
        <f t="shared" si="29"/>
        <v>0</v>
      </c>
      <c r="AX12" s="174">
        <f t="shared" si="30"/>
        <v>0</v>
      </c>
      <c r="AY12" s="174">
        <f t="shared" si="31"/>
        <v>0</v>
      </c>
      <c r="AZ12" s="8">
        <f t="shared" si="33"/>
        <v>0</v>
      </c>
    </row>
    <row r="13" spans="2:52" ht="9.75">
      <c r="B13" s="1" t="str">
        <f>rail6</f>
        <v>Route 6</v>
      </c>
      <c r="C13" s="222" t="s">
        <v>83</v>
      </c>
      <c r="D13" s="222" t="s">
        <v>83</v>
      </c>
      <c r="E13" s="222" t="s">
        <v>83</v>
      </c>
      <c r="F13" s="222"/>
      <c r="G13" s="222"/>
      <c r="H13" s="222"/>
      <c r="I13" s="222"/>
      <c r="J13" s="222"/>
      <c r="L13" s="1" t="str">
        <f>rail6</f>
        <v>Route 6</v>
      </c>
      <c r="M13" s="6" t="str">
        <f t="shared" si="0"/>
        <v>Off</v>
      </c>
      <c r="N13" s="6" t="str">
        <f t="shared" si="1"/>
        <v>Off</v>
      </c>
      <c r="O13" s="6" t="str">
        <f t="shared" si="2"/>
        <v>Off</v>
      </c>
      <c r="P13" s="6" t="str">
        <f t="shared" si="3"/>
        <v>Off</v>
      </c>
      <c r="Q13" s="6" t="str">
        <f t="shared" si="4"/>
        <v>Off</v>
      </c>
      <c r="R13" s="6" t="str">
        <f t="shared" si="5"/>
        <v>Off</v>
      </c>
      <c r="S13" s="6" t="str">
        <f t="shared" si="6"/>
        <v>Off</v>
      </c>
      <c r="T13" s="6" t="str">
        <f t="shared" si="7"/>
        <v>Off</v>
      </c>
      <c r="V13" s="1" t="str">
        <f>rail6</f>
        <v>Route 6</v>
      </c>
      <c r="W13" s="6">
        <f t="shared" si="8"/>
        <v>0</v>
      </c>
      <c r="X13" s="6">
        <f t="shared" si="9"/>
        <v>0</v>
      </c>
      <c r="Y13" s="6">
        <f t="shared" si="10"/>
        <v>0</v>
      </c>
      <c r="Z13" s="6">
        <f t="shared" si="11"/>
        <v>0</v>
      </c>
      <c r="AA13" s="6">
        <f t="shared" si="12"/>
        <v>0</v>
      </c>
      <c r="AB13" s="6">
        <f t="shared" si="13"/>
        <v>0</v>
      </c>
      <c r="AC13" s="6">
        <f t="shared" si="14"/>
        <v>0</v>
      </c>
      <c r="AD13" s="6">
        <f t="shared" si="15"/>
        <v>0</v>
      </c>
      <c r="AF13" s="1" t="str">
        <f>rail6</f>
        <v>Route 6</v>
      </c>
      <c r="AG13" s="174">
        <f t="shared" si="16"/>
        <v>0</v>
      </c>
      <c r="AH13" s="174">
        <f t="shared" si="17"/>
        <v>0</v>
      </c>
      <c r="AI13" s="174">
        <f t="shared" si="18"/>
        <v>0</v>
      </c>
      <c r="AJ13" s="174">
        <f t="shared" si="19"/>
        <v>0</v>
      </c>
      <c r="AK13" s="174">
        <f t="shared" si="20"/>
        <v>0</v>
      </c>
      <c r="AL13" s="174">
        <f t="shared" si="21"/>
        <v>0</v>
      </c>
      <c r="AM13" s="174">
        <f t="shared" si="22"/>
        <v>0</v>
      </c>
      <c r="AN13" s="174">
        <f t="shared" si="23"/>
        <v>0</v>
      </c>
      <c r="AO13" s="8">
        <f t="shared" si="32"/>
        <v>0</v>
      </c>
      <c r="AQ13" s="1" t="str">
        <f>rail6</f>
        <v>Route 6</v>
      </c>
      <c r="AR13" s="174">
        <f t="shared" si="24"/>
        <v>0</v>
      </c>
      <c r="AS13" s="174">
        <f t="shared" si="25"/>
        <v>0</v>
      </c>
      <c r="AT13" s="174">
        <f t="shared" si="26"/>
        <v>0</v>
      </c>
      <c r="AU13" s="174">
        <f t="shared" si="27"/>
        <v>0</v>
      </c>
      <c r="AV13" s="174">
        <f t="shared" si="28"/>
        <v>0</v>
      </c>
      <c r="AW13" s="174">
        <f t="shared" si="29"/>
        <v>0</v>
      </c>
      <c r="AX13" s="174">
        <f t="shared" si="30"/>
        <v>0</v>
      </c>
      <c r="AY13" s="174">
        <f t="shared" si="31"/>
        <v>0</v>
      </c>
      <c r="AZ13" s="8">
        <f t="shared" si="33"/>
        <v>0</v>
      </c>
    </row>
    <row r="14" spans="2:52" ht="9.75">
      <c r="B14" s="1" t="str">
        <f>rail7</f>
        <v>Route 7</v>
      </c>
      <c r="C14" s="222" t="s">
        <v>83</v>
      </c>
      <c r="D14" s="222" t="s">
        <v>83</v>
      </c>
      <c r="E14" s="222" t="s">
        <v>83</v>
      </c>
      <c r="F14" s="222"/>
      <c r="G14" s="222"/>
      <c r="H14" s="222"/>
      <c r="I14" s="222"/>
      <c r="J14" s="222"/>
      <c r="L14" s="1" t="str">
        <f>rail7</f>
        <v>Route 7</v>
      </c>
      <c r="M14" s="6" t="str">
        <f t="shared" si="0"/>
        <v>Off</v>
      </c>
      <c r="N14" s="6" t="str">
        <f t="shared" si="1"/>
        <v>Off</v>
      </c>
      <c r="O14" s="6" t="str">
        <f t="shared" si="2"/>
        <v>Off</v>
      </c>
      <c r="P14" s="6" t="str">
        <f t="shared" si="3"/>
        <v>Off</v>
      </c>
      <c r="Q14" s="6" t="str">
        <f t="shared" si="4"/>
        <v>Off</v>
      </c>
      <c r="R14" s="6" t="str">
        <f t="shared" si="5"/>
        <v>Off</v>
      </c>
      <c r="S14" s="6" t="str">
        <f t="shared" si="6"/>
        <v>Off</v>
      </c>
      <c r="T14" s="6" t="str">
        <f t="shared" si="7"/>
        <v>Off</v>
      </c>
      <c r="V14" s="1" t="str">
        <f>rail7</f>
        <v>Route 7</v>
      </c>
      <c r="W14" s="6">
        <f t="shared" si="8"/>
        <v>0</v>
      </c>
      <c r="X14" s="6">
        <f t="shared" si="9"/>
        <v>0</v>
      </c>
      <c r="Y14" s="6">
        <f t="shared" si="10"/>
        <v>0</v>
      </c>
      <c r="Z14" s="6">
        <f t="shared" si="11"/>
        <v>0</v>
      </c>
      <c r="AA14" s="6">
        <f t="shared" si="12"/>
        <v>0</v>
      </c>
      <c r="AB14" s="6">
        <f t="shared" si="13"/>
        <v>0</v>
      </c>
      <c r="AC14" s="6">
        <f t="shared" si="14"/>
        <v>0</v>
      </c>
      <c r="AD14" s="6">
        <f t="shared" si="15"/>
        <v>0</v>
      </c>
      <c r="AF14" s="1" t="str">
        <f>rail7</f>
        <v>Route 7</v>
      </c>
      <c r="AG14" s="174">
        <f t="shared" si="16"/>
        <v>0</v>
      </c>
      <c r="AH14" s="174">
        <f t="shared" si="17"/>
        <v>0</v>
      </c>
      <c r="AI14" s="174">
        <f t="shared" si="18"/>
        <v>0</v>
      </c>
      <c r="AJ14" s="174">
        <f t="shared" si="19"/>
        <v>0</v>
      </c>
      <c r="AK14" s="174">
        <f t="shared" si="20"/>
        <v>0</v>
      </c>
      <c r="AL14" s="174">
        <f t="shared" si="21"/>
        <v>0</v>
      </c>
      <c r="AM14" s="174">
        <f t="shared" si="22"/>
        <v>0</v>
      </c>
      <c r="AN14" s="174">
        <f t="shared" si="23"/>
        <v>0</v>
      </c>
      <c r="AO14" s="8">
        <f t="shared" si="32"/>
        <v>0</v>
      </c>
      <c r="AQ14" s="1" t="str">
        <f>rail7</f>
        <v>Route 7</v>
      </c>
      <c r="AR14" s="174">
        <f t="shared" si="24"/>
        <v>0</v>
      </c>
      <c r="AS14" s="174">
        <f t="shared" si="25"/>
        <v>0</v>
      </c>
      <c r="AT14" s="174">
        <f t="shared" si="26"/>
        <v>0</v>
      </c>
      <c r="AU14" s="174">
        <f t="shared" si="27"/>
        <v>0</v>
      </c>
      <c r="AV14" s="174">
        <f t="shared" si="28"/>
        <v>0</v>
      </c>
      <c r="AW14" s="174">
        <f t="shared" si="29"/>
        <v>0</v>
      </c>
      <c r="AX14" s="174">
        <f t="shared" si="30"/>
        <v>0</v>
      </c>
      <c r="AY14" s="174">
        <f t="shared" si="31"/>
        <v>0</v>
      </c>
      <c r="AZ14" s="8">
        <f t="shared" si="33"/>
        <v>0</v>
      </c>
    </row>
    <row r="15" spans="2:52" ht="9.75">
      <c r="B15" s="1" t="str">
        <f>rail8</f>
        <v>Route 8</v>
      </c>
      <c r="C15" s="222" t="s">
        <v>83</v>
      </c>
      <c r="D15" s="222" t="s">
        <v>83</v>
      </c>
      <c r="E15" s="222" t="s">
        <v>83</v>
      </c>
      <c r="F15" s="222"/>
      <c r="G15" s="222"/>
      <c r="H15" s="222"/>
      <c r="I15" s="222"/>
      <c r="J15" s="222"/>
      <c r="L15" s="1" t="str">
        <f>rail8</f>
        <v>Route 8</v>
      </c>
      <c r="M15" s="6" t="str">
        <f t="shared" si="0"/>
        <v>Off</v>
      </c>
      <c r="N15" s="6" t="str">
        <f t="shared" si="1"/>
        <v>Off</v>
      </c>
      <c r="O15" s="6" t="str">
        <f t="shared" si="2"/>
        <v>Off</v>
      </c>
      <c r="P15" s="6" t="str">
        <f t="shared" si="3"/>
        <v>Off</v>
      </c>
      <c r="Q15" s="6" t="str">
        <f t="shared" si="4"/>
        <v>Off</v>
      </c>
      <c r="R15" s="6" t="str">
        <f t="shared" si="5"/>
        <v>Off</v>
      </c>
      <c r="S15" s="6" t="str">
        <f t="shared" si="6"/>
        <v>Off</v>
      </c>
      <c r="T15" s="6" t="str">
        <f t="shared" si="7"/>
        <v>Off</v>
      </c>
      <c r="V15" s="1" t="str">
        <f>rail8</f>
        <v>Route 8</v>
      </c>
      <c r="W15" s="6">
        <f t="shared" si="8"/>
        <v>0</v>
      </c>
      <c r="X15" s="6">
        <f t="shared" si="9"/>
        <v>0</v>
      </c>
      <c r="Y15" s="6">
        <f t="shared" si="10"/>
        <v>0</v>
      </c>
      <c r="Z15" s="6">
        <f t="shared" si="11"/>
        <v>0</v>
      </c>
      <c r="AA15" s="6">
        <f t="shared" si="12"/>
        <v>0</v>
      </c>
      <c r="AB15" s="6">
        <f t="shared" si="13"/>
        <v>0</v>
      </c>
      <c r="AC15" s="6">
        <f t="shared" si="14"/>
        <v>0</v>
      </c>
      <c r="AD15" s="6">
        <f t="shared" si="15"/>
        <v>0</v>
      </c>
      <c r="AF15" s="1" t="str">
        <f>rail8</f>
        <v>Route 8</v>
      </c>
      <c r="AG15" s="174">
        <f t="shared" si="16"/>
        <v>0</v>
      </c>
      <c r="AH15" s="174">
        <f t="shared" si="17"/>
        <v>0</v>
      </c>
      <c r="AI15" s="174">
        <f t="shared" si="18"/>
        <v>0</v>
      </c>
      <c r="AJ15" s="174">
        <f t="shared" si="19"/>
        <v>0</v>
      </c>
      <c r="AK15" s="174">
        <f t="shared" si="20"/>
        <v>0</v>
      </c>
      <c r="AL15" s="174">
        <f t="shared" si="21"/>
        <v>0</v>
      </c>
      <c r="AM15" s="174">
        <f t="shared" si="22"/>
        <v>0</v>
      </c>
      <c r="AN15" s="174">
        <f t="shared" si="23"/>
        <v>0</v>
      </c>
      <c r="AO15" s="8">
        <f t="shared" si="32"/>
        <v>0</v>
      </c>
      <c r="AQ15" s="1" t="str">
        <f>rail8</f>
        <v>Route 8</v>
      </c>
      <c r="AR15" s="174">
        <f t="shared" si="24"/>
        <v>0</v>
      </c>
      <c r="AS15" s="174">
        <f t="shared" si="25"/>
        <v>0</v>
      </c>
      <c r="AT15" s="174">
        <f t="shared" si="26"/>
        <v>0</v>
      </c>
      <c r="AU15" s="174">
        <f t="shared" si="27"/>
        <v>0</v>
      </c>
      <c r="AV15" s="174">
        <f t="shared" si="28"/>
        <v>0</v>
      </c>
      <c r="AW15" s="174">
        <f t="shared" si="29"/>
        <v>0</v>
      </c>
      <c r="AX15" s="174">
        <f t="shared" si="30"/>
        <v>0</v>
      </c>
      <c r="AY15" s="174">
        <f t="shared" si="31"/>
        <v>0</v>
      </c>
      <c r="AZ15" s="8">
        <f t="shared" si="33"/>
        <v>0</v>
      </c>
    </row>
    <row r="16" spans="2:52" ht="9.75">
      <c r="B16" s="1" t="str">
        <f>rail9</f>
        <v>Route 9</v>
      </c>
      <c r="C16" s="222" t="s">
        <v>83</v>
      </c>
      <c r="D16" s="222" t="s">
        <v>83</v>
      </c>
      <c r="E16" s="222" t="s">
        <v>83</v>
      </c>
      <c r="F16" s="222"/>
      <c r="G16" s="222"/>
      <c r="H16" s="222"/>
      <c r="I16" s="222"/>
      <c r="J16" s="222"/>
      <c r="L16" s="1" t="str">
        <f>rail9</f>
        <v>Route 9</v>
      </c>
      <c r="M16" s="6" t="str">
        <f t="shared" si="0"/>
        <v>Off</v>
      </c>
      <c r="N16" s="6" t="str">
        <f t="shared" si="1"/>
        <v>Off</v>
      </c>
      <c r="O16" s="6" t="str">
        <f t="shared" si="2"/>
        <v>Off</v>
      </c>
      <c r="P16" s="6" t="str">
        <f t="shared" si="3"/>
        <v>Off</v>
      </c>
      <c r="Q16" s="6" t="str">
        <f t="shared" si="4"/>
        <v>Off</v>
      </c>
      <c r="R16" s="6" t="str">
        <f t="shared" si="5"/>
        <v>Off</v>
      </c>
      <c r="S16" s="6" t="str">
        <f t="shared" si="6"/>
        <v>Off</v>
      </c>
      <c r="T16" s="6" t="str">
        <f t="shared" si="7"/>
        <v>Off</v>
      </c>
      <c r="V16" s="1" t="str">
        <f>rail9</f>
        <v>Route 9</v>
      </c>
      <c r="W16" s="6">
        <f t="shared" si="8"/>
        <v>0</v>
      </c>
      <c r="X16" s="6">
        <f t="shared" si="9"/>
        <v>0</v>
      </c>
      <c r="Y16" s="6">
        <f t="shared" si="10"/>
        <v>0</v>
      </c>
      <c r="Z16" s="6">
        <f t="shared" si="11"/>
        <v>0</v>
      </c>
      <c r="AA16" s="6">
        <f t="shared" si="12"/>
        <v>0</v>
      </c>
      <c r="AB16" s="6">
        <f t="shared" si="13"/>
        <v>0</v>
      </c>
      <c r="AC16" s="6">
        <f t="shared" si="14"/>
        <v>0</v>
      </c>
      <c r="AD16" s="6">
        <f t="shared" si="15"/>
        <v>0</v>
      </c>
      <c r="AF16" s="1" t="str">
        <f>rail9</f>
        <v>Route 9</v>
      </c>
      <c r="AG16" s="174">
        <f t="shared" si="16"/>
        <v>0</v>
      </c>
      <c r="AH16" s="174">
        <f t="shared" si="17"/>
        <v>0</v>
      </c>
      <c r="AI16" s="174">
        <f t="shared" si="18"/>
        <v>0</v>
      </c>
      <c r="AJ16" s="174">
        <f t="shared" si="19"/>
        <v>0</v>
      </c>
      <c r="AK16" s="174">
        <f t="shared" si="20"/>
        <v>0</v>
      </c>
      <c r="AL16" s="174">
        <f t="shared" si="21"/>
        <v>0</v>
      </c>
      <c r="AM16" s="174">
        <f t="shared" si="22"/>
        <v>0</v>
      </c>
      <c r="AN16" s="174">
        <f t="shared" si="23"/>
        <v>0</v>
      </c>
      <c r="AO16" s="8">
        <f t="shared" si="32"/>
        <v>0</v>
      </c>
      <c r="AQ16" s="1" t="str">
        <f>rail9</f>
        <v>Route 9</v>
      </c>
      <c r="AR16" s="174">
        <f t="shared" si="24"/>
        <v>0</v>
      </c>
      <c r="AS16" s="174">
        <f t="shared" si="25"/>
        <v>0</v>
      </c>
      <c r="AT16" s="174">
        <f t="shared" si="26"/>
        <v>0</v>
      </c>
      <c r="AU16" s="174">
        <f t="shared" si="27"/>
        <v>0</v>
      </c>
      <c r="AV16" s="174">
        <f t="shared" si="28"/>
        <v>0</v>
      </c>
      <c r="AW16" s="174">
        <f t="shared" si="29"/>
        <v>0</v>
      </c>
      <c r="AX16" s="174">
        <f t="shared" si="30"/>
        <v>0</v>
      </c>
      <c r="AY16" s="174">
        <f t="shared" si="31"/>
        <v>0</v>
      </c>
      <c r="AZ16" s="8">
        <f t="shared" si="33"/>
        <v>0</v>
      </c>
    </row>
    <row r="17" spans="2:52" ht="9.75">
      <c r="B17" s="1" t="str">
        <f>rail10</f>
        <v>Route 10</v>
      </c>
      <c r="C17" s="222" t="s">
        <v>83</v>
      </c>
      <c r="D17" s="222" t="s">
        <v>83</v>
      </c>
      <c r="E17" s="222" t="s">
        <v>83</v>
      </c>
      <c r="F17" s="222"/>
      <c r="G17" s="222"/>
      <c r="H17" s="222"/>
      <c r="I17" s="222"/>
      <c r="J17" s="222"/>
      <c r="L17" s="1" t="str">
        <f>rail10</f>
        <v>Route 10</v>
      </c>
      <c r="M17" s="6" t="str">
        <f t="shared" si="0"/>
        <v>Off</v>
      </c>
      <c r="N17" s="6" t="str">
        <f t="shared" si="1"/>
        <v>Off</v>
      </c>
      <c r="O17" s="6" t="str">
        <f t="shared" si="2"/>
        <v>Off</v>
      </c>
      <c r="P17" s="6" t="str">
        <f t="shared" si="3"/>
        <v>Off</v>
      </c>
      <c r="Q17" s="6" t="str">
        <f t="shared" si="4"/>
        <v>Off</v>
      </c>
      <c r="R17" s="6" t="str">
        <f t="shared" si="5"/>
        <v>Off</v>
      </c>
      <c r="S17" s="6" t="str">
        <f t="shared" si="6"/>
        <v>Off</v>
      </c>
      <c r="T17" s="6" t="str">
        <f t="shared" si="7"/>
        <v>Off</v>
      </c>
      <c r="V17" s="1" t="str">
        <f>rail10</f>
        <v>Route 10</v>
      </c>
      <c r="W17" s="6">
        <f t="shared" si="8"/>
        <v>0</v>
      </c>
      <c r="X17" s="6">
        <f t="shared" si="9"/>
        <v>0</v>
      </c>
      <c r="Y17" s="6">
        <f t="shared" si="10"/>
        <v>0</v>
      </c>
      <c r="Z17" s="6">
        <f t="shared" si="11"/>
        <v>0</v>
      </c>
      <c r="AA17" s="6">
        <f t="shared" si="12"/>
        <v>0</v>
      </c>
      <c r="AB17" s="6">
        <f t="shared" si="13"/>
        <v>0</v>
      </c>
      <c r="AC17" s="6">
        <f t="shared" si="14"/>
        <v>0</v>
      </c>
      <c r="AD17" s="6">
        <f t="shared" si="15"/>
        <v>0</v>
      </c>
      <c r="AF17" s="1" t="str">
        <f>rail10</f>
        <v>Route 10</v>
      </c>
      <c r="AG17" s="174">
        <f t="shared" si="16"/>
        <v>0</v>
      </c>
      <c r="AH17" s="174">
        <f t="shared" si="17"/>
        <v>0</v>
      </c>
      <c r="AI17" s="174">
        <f t="shared" si="18"/>
        <v>0</v>
      </c>
      <c r="AJ17" s="174">
        <f t="shared" si="19"/>
        <v>0</v>
      </c>
      <c r="AK17" s="174">
        <f t="shared" si="20"/>
        <v>0</v>
      </c>
      <c r="AL17" s="174">
        <f t="shared" si="21"/>
        <v>0</v>
      </c>
      <c r="AM17" s="174">
        <f t="shared" si="22"/>
        <v>0</v>
      </c>
      <c r="AN17" s="174">
        <f t="shared" si="23"/>
        <v>0</v>
      </c>
      <c r="AO17" s="8">
        <f t="shared" si="32"/>
        <v>0</v>
      </c>
      <c r="AQ17" s="1" t="str">
        <f>rail10</f>
        <v>Route 10</v>
      </c>
      <c r="AR17" s="174">
        <f t="shared" si="24"/>
        <v>0</v>
      </c>
      <c r="AS17" s="174">
        <f t="shared" si="25"/>
        <v>0</v>
      </c>
      <c r="AT17" s="174">
        <f t="shared" si="26"/>
        <v>0</v>
      </c>
      <c r="AU17" s="174">
        <f t="shared" si="27"/>
        <v>0</v>
      </c>
      <c r="AV17" s="174">
        <f t="shared" si="28"/>
        <v>0</v>
      </c>
      <c r="AW17" s="174">
        <f t="shared" si="29"/>
        <v>0</v>
      </c>
      <c r="AX17" s="174">
        <f t="shared" si="30"/>
        <v>0</v>
      </c>
      <c r="AY17" s="174">
        <f t="shared" si="31"/>
        <v>0</v>
      </c>
      <c r="AZ17" s="8">
        <f t="shared" si="33"/>
        <v>0</v>
      </c>
    </row>
    <row r="18" spans="2:52" ht="9.75">
      <c r="B18" s="1" t="str">
        <f>rail11</f>
        <v>Route 11</v>
      </c>
      <c r="C18" s="222" t="s">
        <v>83</v>
      </c>
      <c r="D18" s="222" t="s">
        <v>83</v>
      </c>
      <c r="E18" s="222" t="s">
        <v>83</v>
      </c>
      <c r="F18" s="222"/>
      <c r="G18" s="222"/>
      <c r="H18" s="222"/>
      <c r="I18" s="222"/>
      <c r="J18" s="222"/>
      <c r="L18" s="1" t="str">
        <f>rail11</f>
        <v>Route 11</v>
      </c>
      <c r="M18" s="6" t="str">
        <f t="shared" si="0"/>
        <v>Off</v>
      </c>
      <c r="N18" s="6" t="str">
        <f t="shared" si="1"/>
        <v>Off</v>
      </c>
      <c r="O18" s="6" t="str">
        <f t="shared" si="2"/>
        <v>Off</v>
      </c>
      <c r="P18" s="6" t="str">
        <f t="shared" si="3"/>
        <v>Off</v>
      </c>
      <c r="Q18" s="6" t="str">
        <f t="shared" si="4"/>
        <v>Off</v>
      </c>
      <c r="R18" s="6" t="str">
        <f t="shared" si="5"/>
        <v>Off</v>
      </c>
      <c r="S18" s="6" t="str">
        <f t="shared" si="6"/>
        <v>Off</v>
      </c>
      <c r="T18" s="6" t="str">
        <f t="shared" si="7"/>
        <v>Off</v>
      </c>
      <c r="V18" s="1" t="str">
        <f>rail11</f>
        <v>Route 11</v>
      </c>
      <c r="W18" s="6">
        <f t="shared" si="8"/>
        <v>0</v>
      </c>
      <c r="X18" s="6">
        <f t="shared" si="9"/>
        <v>0</v>
      </c>
      <c r="Y18" s="6">
        <f t="shared" si="10"/>
        <v>0</v>
      </c>
      <c r="Z18" s="6">
        <f t="shared" si="11"/>
        <v>0</v>
      </c>
      <c r="AA18" s="6">
        <f t="shared" si="12"/>
        <v>0</v>
      </c>
      <c r="AB18" s="6">
        <f t="shared" si="13"/>
        <v>0</v>
      </c>
      <c r="AC18" s="6">
        <f t="shared" si="14"/>
        <v>0</v>
      </c>
      <c r="AD18" s="6">
        <f t="shared" si="15"/>
        <v>0</v>
      </c>
      <c r="AF18" s="1" t="str">
        <f>rail11</f>
        <v>Route 11</v>
      </c>
      <c r="AG18" s="174">
        <f t="shared" si="16"/>
        <v>0</v>
      </c>
      <c r="AH18" s="174">
        <f t="shared" si="17"/>
        <v>0</v>
      </c>
      <c r="AI18" s="174">
        <f t="shared" si="18"/>
        <v>0</v>
      </c>
      <c r="AJ18" s="174">
        <f t="shared" si="19"/>
        <v>0</v>
      </c>
      <c r="AK18" s="174">
        <f t="shared" si="20"/>
        <v>0</v>
      </c>
      <c r="AL18" s="174">
        <f t="shared" si="21"/>
        <v>0</v>
      </c>
      <c r="AM18" s="174">
        <f t="shared" si="22"/>
        <v>0</v>
      </c>
      <c r="AN18" s="174">
        <f t="shared" si="23"/>
        <v>0</v>
      </c>
      <c r="AO18" s="8">
        <f t="shared" si="32"/>
        <v>0</v>
      </c>
      <c r="AQ18" s="1" t="str">
        <f>rail11</f>
        <v>Route 11</v>
      </c>
      <c r="AR18" s="174">
        <f t="shared" si="24"/>
        <v>0</v>
      </c>
      <c r="AS18" s="174">
        <f t="shared" si="25"/>
        <v>0</v>
      </c>
      <c r="AT18" s="174">
        <f t="shared" si="26"/>
        <v>0</v>
      </c>
      <c r="AU18" s="174">
        <f t="shared" si="27"/>
        <v>0</v>
      </c>
      <c r="AV18" s="174">
        <f t="shared" si="28"/>
        <v>0</v>
      </c>
      <c r="AW18" s="174">
        <f t="shared" si="29"/>
        <v>0</v>
      </c>
      <c r="AX18" s="174">
        <f t="shared" si="30"/>
        <v>0</v>
      </c>
      <c r="AY18" s="174">
        <f t="shared" si="31"/>
        <v>0</v>
      </c>
      <c r="AZ18" s="8">
        <f t="shared" si="33"/>
        <v>0</v>
      </c>
    </row>
    <row r="19" spans="2:52" ht="9.75">
      <c r="B19" s="1" t="str">
        <f>rail12</f>
        <v>Route 12</v>
      </c>
      <c r="C19" s="222" t="s">
        <v>83</v>
      </c>
      <c r="D19" s="222" t="s">
        <v>83</v>
      </c>
      <c r="E19" s="222" t="s">
        <v>83</v>
      </c>
      <c r="F19" s="222"/>
      <c r="G19" s="222"/>
      <c r="H19" s="222"/>
      <c r="I19" s="222"/>
      <c r="J19" s="222"/>
      <c r="L19" s="1" t="str">
        <f>rail12</f>
        <v>Route 12</v>
      </c>
      <c r="M19" s="6" t="str">
        <f t="shared" si="0"/>
        <v>Off</v>
      </c>
      <c r="N19" s="6" t="str">
        <f t="shared" si="1"/>
        <v>Off</v>
      </c>
      <c r="O19" s="6" t="str">
        <f t="shared" si="2"/>
        <v>Off</v>
      </c>
      <c r="P19" s="6" t="str">
        <f t="shared" si="3"/>
        <v>Off</v>
      </c>
      <c r="Q19" s="6" t="str">
        <f t="shared" si="4"/>
        <v>Off</v>
      </c>
      <c r="R19" s="6" t="str">
        <f t="shared" si="5"/>
        <v>Off</v>
      </c>
      <c r="S19" s="6" t="str">
        <f t="shared" si="6"/>
        <v>Off</v>
      </c>
      <c r="T19" s="6" t="str">
        <f t="shared" si="7"/>
        <v>Off</v>
      </c>
      <c r="V19" s="1" t="str">
        <f>rail12</f>
        <v>Route 12</v>
      </c>
      <c r="W19" s="6">
        <f t="shared" si="8"/>
        <v>0</v>
      </c>
      <c r="X19" s="6">
        <f t="shared" si="9"/>
        <v>0</v>
      </c>
      <c r="Y19" s="6">
        <f t="shared" si="10"/>
        <v>0</v>
      </c>
      <c r="Z19" s="6">
        <f t="shared" si="11"/>
        <v>0</v>
      </c>
      <c r="AA19" s="6">
        <f t="shared" si="12"/>
        <v>0</v>
      </c>
      <c r="AB19" s="6">
        <f t="shared" si="13"/>
        <v>0</v>
      </c>
      <c r="AC19" s="6">
        <f t="shared" si="14"/>
        <v>0</v>
      </c>
      <c r="AD19" s="6">
        <f t="shared" si="15"/>
        <v>0</v>
      </c>
      <c r="AF19" s="1" t="str">
        <f>rail12</f>
        <v>Route 12</v>
      </c>
      <c r="AG19" s="174">
        <f t="shared" si="16"/>
        <v>0</v>
      </c>
      <c r="AH19" s="174">
        <f t="shared" si="17"/>
        <v>0</v>
      </c>
      <c r="AI19" s="174">
        <f t="shared" si="18"/>
        <v>0</v>
      </c>
      <c r="AJ19" s="174">
        <f t="shared" si="19"/>
        <v>0</v>
      </c>
      <c r="AK19" s="174">
        <f t="shared" si="20"/>
        <v>0</v>
      </c>
      <c r="AL19" s="174">
        <f t="shared" si="21"/>
        <v>0</v>
      </c>
      <c r="AM19" s="174">
        <f t="shared" si="22"/>
        <v>0</v>
      </c>
      <c r="AN19" s="174">
        <f t="shared" si="23"/>
        <v>0</v>
      </c>
      <c r="AO19" s="8">
        <f t="shared" si="32"/>
        <v>0</v>
      </c>
      <c r="AQ19" s="1" t="str">
        <f>rail12</f>
        <v>Route 12</v>
      </c>
      <c r="AR19" s="174">
        <f t="shared" si="24"/>
        <v>0</v>
      </c>
      <c r="AS19" s="174">
        <f t="shared" si="25"/>
        <v>0</v>
      </c>
      <c r="AT19" s="174">
        <f t="shared" si="26"/>
        <v>0</v>
      </c>
      <c r="AU19" s="174">
        <f t="shared" si="27"/>
        <v>0</v>
      </c>
      <c r="AV19" s="174">
        <f t="shared" si="28"/>
        <v>0</v>
      </c>
      <c r="AW19" s="174">
        <f t="shared" si="29"/>
        <v>0</v>
      </c>
      <c r="AX19" s="174">
        <f t="shared" si="30"/>
        <v>0</v>
      </c>
      <c r="AY19" s="174">
        <f t="shared" si="31"/>
        <v>0</v>
      </c>
      <c r="AZ19" s="8">
        <f t="shared" si="33"/>
        <v>0</v>
      </c>
    </row>
    <row r="20" spans="2:52" ht="9.75">
      <c r="B20" s="1" t="str">
        <f>rail13</f>
        <v>Route 13</v>
      </c>
      <c r="C20" s="222" t="s">
        <v>83</v>
      </c>
      <c r="D20" s="222" t="s">
        <v>83</v>
      </c>
      <c r="E20" s="222" t="s">
        <v>83</v>
      </c>
      <c r="F20" s="222"/>
      <c r="G20" s="222"/>
      <c r="H20" s="222"/>
      <c r="I20" s="222"/>
      <c r="J20" s="222"/>
      <c r="L20" s="1" t="str">
        <f>rail13</f>
        <v>Route 13</v>
      </c>
      <c r="M20" s="6" t="str">
        <f t="shared" si="0"/>
        <v>Off</v>
      </c>
      <c r="N20" s="6" t="str">
        <f t="shared" si="1"/>
        <v>Off</v>
      </c>
      <c r="O20" s="6" t="str">
        <f t="shared" si="2"/>
        <v>Off</v>
      </c>
      <c r="P20" s="6" t="str">
        <f t="shared" si="3"/>
        <v>Off</v>
      </c>
      <c r="Q20" s="6" t="str">
        <f t="shared" si="4"/>
        <v>Off</v>
      </c>
      <c r="R20" s="6" t="str">
        <f t="shared" si="5"/>
        <v>Off</v>
      </c>
      <c r="S20" s="6" t="str">
        <f t="shared" si="6"/>
        <v>Off</v>
      </c>
      <c r="T20" s="6" t="str">
        <f t="shared" si="7"/>
        <v>Off</v>
      </c>
      <c r="V20" s="1" t="str">
        <f>rail13</f>
        <v>Route 13</v>
      </c>
      <c r="W20" s="6">
        <f t="shared" si="8"/>
        <v>0</v>
      </c>
      <c r="X20" s="6">
        <f t="shared" si="9"/>
        <v>0</v>
      </c>
      <c r="Y20" s="6">
        <f t="shared" si="10"/>
        <v>0</v>
      </c>
      <c r="Z20" s="6">
        <f t="shared" si="11"/>
        <v>0</v>
      </c>
      <c r="AA20" s="6">
        <f t="shared" si="12"/>
        <v>0</v>
      </c>
      <c r="AB20" s="6">
        <f t="shared" si="13"/>
        <v>0</v>
      </c>
      <c r="AC20" s="6">
        <f t="shared" si="14"/>
        <v>0</v>
      </c>
      <c r="AD20" s="6">
        <f t="shared" si="15"/>
        <v>0</v>
      </c>
      <c r="AF20" s="1" t="str">
        <f>rail13</f>
        <v>Route 13</v>
      </c>
      <c r="AG20" s="174">
        <f t="shared" si="16"/>
        <v>0</v>
      </c>
      <c r="AH20" s="174">
        <f t="shared" si="17"/>
        <v>0</v>
      </c>
      <c r="AI20" s="174">
        <f t="shared" si="18"/>
        <v>0</v>
      </c>
      <c r="AJ20" s="174">
        <f t="shared" si="19"/>
        <v>0</v>
      </c>
      <c r="AK20" s="174">
        <f t="shared" si="20"/>
        <v>0</v>
      </c>
      <c r="AL20" s="174">
        <f t="shared" si="21"/>
        <v>0</v>
      </c>
      <c r="AM20" s="174">
        <f t="shared" si="22"/>
        <v>0</v>
      </c>
      <c r="AN20" s="174">
        <f t="shared" si="23"/>
        <v>0</v>
      </c>
      <c r="AO20" s="8">
        <f t="shared" si="32"/>
        <v>0</v>
      </c>
      <c r="AQ20" s="1" t="str">
        <f>rail13</f>
        <v>Route 13</v>
      </c>
      <c r="AR20" s="174">
        <f t="shared" si="24"/>
        <v>0</v>
      </c>
      <c r="AS20" s="174">
        <f t="shared" si="25"/>
        <v>0</v>
      </c>
      <c r="AT20" s="174">
        <f t="shared" si="26"/>
        <v>0</v>
      </c>
      <c r="AU20" s="174">
        <f t="shared" si="27"/>
        <v>0</v>
      </c>
      <c r="AV20" s="174">
        <f t="shared" si="28"/>
        <v>0</v>
      </c>
      <c r="AW20" s="174">
        <f t="shared" si="29"/>
        <v>0</v>
      </c>
      <c r="AX20" s="174">
        <f t="shared" si="30"/>
        <v>0</v>
      </c>
      <c r="AY20" s="174">
        <f t="shared" si="31"/>
        <v>0</v>
      </c>
      <c r="AZ20" s="8">
        <f t="shared" si="33"/>
        <v>0</v>
      </c>
    </row>
    <row r="21" spans="2:52" ht="9.75">
      <c r="B21" s="1" t="str">
        <f>rail14</f>
        <v>Route 14</v>
      </c>
      <c r="C21" s="222" t="s">
        <v>83</v>
      </c>
      <c r="D21" s="222" t="s">
        <v>83</v>
      </c>
      <c r="E21" s="222" t="s">
        <v>83</v>
      </c>
      <c r="F21" s="222"/>
      <c r="G21" s="222"/>
      <c r="H21" s="222"/>
      <c r="I21" s="222"/>
      <c r="J21" s="222"/>
      <c r="L21" s="1" t="str">
        <f>rail14</f>
        <v>Route 14</v>
      </c>
      <c r="M21" s="6" t="str">
        <f t="shared" si="0"/>
        <v>Off</v>
      </c>
      <c r="N21" s="6" t="str">
        <f t="shared" si="1"/>
        <v>Off</v>
      </c>
      <c r="O21" s="6" t="str">
        <f t="shared" si="2"/>
        <v>Off</v>
      </c>
      <c r="P21" s="6" t="str">
        <f t="shared" si="3"/>
        <v>Off</v>
      </c>
      <c r="Q21" s="6" t="str">
        <f t="shared" si="4"/>
        <v>Off</v>
      </c>
      <c r="R21" s="6" t="str">
        <f t="shared" si="5"/>
        <v>Off</v>
      </c>
      <c r="S21" s="6" t="str">
        <f t="shared" si="6"/>
        <v>Off</v>
      </c>
      <c r="T21" s="6" t="str">
        <f t="shared" si="7"/>
        <v>Off</v>
      </c>
      <c r="V21" s="1" t="str">
        <f>rail14</f>
        <v>Route 14</v>
      </c>
      <c r="W21" s="6">
        <f t="shared" si="8"/>
        <v>0</v>
      </c>
      <c r="X21" s="6">
        <f t="shared" si="9"/>
        <v>0</v>
      </c>
      <c r="Y21" s="6">
        <f t="shared" si="10"/>
        <v>0</v>
      </c>
      <c r="Z21" s="6">
        <f t="shared" si="11"/>
        <v>0</v>
      </c>
      <c r="AA21" s="6">
        <f t="shared" si="12"/>
        <v>0</v>
      </c>
      <c r="AB21" s="6">
        <f t="shared" si="13"/>
        <v>0</v>
      </c>
      <c r="AC21" s="6">
        <f t="shared" si="14"/>
        <v>0</v>
      </c>
      <c r="AD21" s="6">
        <f t="shared" si="15"/>
        <v>0</v>
      </c>
      <c r="AF21" s="1" t="str">
        <f>rail14</f>
        <v>Route 14</v>
      </c>
      <c r="AG21" s="174">
        <f t="shared" si="16"/>
        <v>0</v>
      </c>
      <c r="AH21" s="174">
        <f t="shared" si="17"/>
        <v>0</v>
      </c>
      <c r="AI21" s="174">
        <f t="shared" si="18"/>
        <v>0</v>
      </c>
      <c r="AJ21" s="174">
        <f t="shared" si="19"/>
        <v>0</v>
      </c>
      <c r="AK21" s="174">
        <f t="shared" si="20"/>
        <v>0</v>
      </c>
      <c r="AL21" s="174">
        <f t="shared" si="21"/>
        <v>0</v>
      </c>
      <c r="AM21" s="174">
        <f t="shared" si="22"/>
        <v>0</v>
      </c>
      <c r="AN21" s="174">
        <f t="shared" si="23"/>
        <v>0</v>
      </c>
      <c r="AO21" s="8">
        <f t="shared" si="32"/>
        <v>0</v>
      </c>
      <c r="AQ21" s="1" t="str">
        <f>rail14</f>
        <v>Route 14</v>
      </c>
      <c r="AR21" s="174">
        <f t="shared" si="24"/>
        <v>0</v>
      </c>
      <c r="AS21" s="174">
        <f t="shared" si="25"/>
        <v>0</v>
      </c>
      <c r="AT21" s="174">
        <f t="shared" si="26"/>
        <v>0</v>
      </c>
      <c r="AU21" s="174">
        <f t="shared" si="27"/>
        <v>0</v>
      </c>
      <c r="AV21" s="174">
        <f t="shared" si="28"/>
        <v>0</v>
      </c>
      <c r="AW21" s="174">
        <f t="shared" si="29"/>
        <v>0</v>
      </c>
      <c r="AX21" s="174">
        <f t="shared" si="30"/>
        <v>0</v>
      </c>
      <c r="AY21" s="174">
        <f t="shared" si="31"/>
        <v>0</v>
      </c>
      <c r="AZ21" s="8">
        <f t="shared" si="33"/>
        <v>0</v>
      </c>
    </row>
    <row r="22" spans="2:52" ht="9.75">
      <c r="B22" s="1" t="str">
        <f>rail15</f>
        <v>Route 15</v>
      </c>
      <c r="C22" s="222" t="s">
        <v>83</v>
      </c>
      <c r="D22" s="222" t="s">
        <v>83</v>
      </c>
      <c r="E22" s="222" t="s">
        <v>83</v>
      </c>
      <c r="F22" s="222"/>
      <c r="G22" s="222"/>
      <c r="H22" s="222"/>
      <c r="I22" s="222"/>
      <c r="J22" s="222"/>
      <c r="L22" s="1" t="str">
        <f>rail15</f>
        <v>Route 15</v>
      </c>
      <c r="M22" s="6" t="str">
        <f t="shared" si="0"/>
        <v>Off</v>
      </c>
      <c r="N22" s="6" t="str">
        <f t="shared" si="1"/>
        <v>Off</v>
      </c>
      <c r="O22" s="6" t="str">
        <f t="shared" si="2"/>
        <v>Off</v>
      </c>
      <c r="P22" s="6" t="str">
        <f t="shared" si="3"/>
        <v>Off</v>
      </c>
      <c r="Q22" s="6" t="str">
        <f t="shared" si="4"/>
        <v>Off</v>
      </c>
      <c r="R22" s="6" t="str">
        <f t="shared" si="5"/>
        <v>Off</v>
      </c>
      <c r="S22" s="6" t="str">
        <f t="shared" si="6"/>
        <v>Off</v>
      </c>
      <c r="T22" s="6" t="str">
        <f t="shared" si="7"/>
        <v>Off</v>
      </c>
      <c r="V22" s="1" t="str">
        <f>rail15</f>
        <v>Route 15</v>
      </c>
      <c r="W22" s="6">
        <f t="shared" si="8"/>
        <v>0</v>
      </c>
      <c r="X22" s="6">
        <f t="shared" si="9"/>
        <v>0</v>
      </c>
      <c r="Y22" s="6">
        <f t="shared" si="10"/>
        <v>0</v>
      </c>
      <c r="Z22" s="6">
        <f t="shared" si="11"/>
        <v>0</v>
      </c>
      <c r="AA22" s="6">
        <f t="shared" si="12"/>
        <v>0</v>
      </c>
      <c r="AB22" s="6">
        <f t="shared" si="13"/>
        <v>0</v>
      </c>
      <c r="AC22" s="6">
        <f t="shared" si="14"/>
        <v>0</v>
      </c>
      <c r="AD22" s="6">
        <f t="shared" si="15"/>
        <v>0</v>
      </c>
      <c r="AF22" s="1" t="str">
        <f>rail15</f>
        <v>Route 15</v>
      </c>
      <c r="AG22" s="174">
        <f t="shared" si="16"/>
        <v>0</v>
      </c>
      <c r="AH22" s="174">
        <f t="shared" si="17"/>
        <v>0</v>
      </c>
      <c r="AI22" s="174">
        <f t="shared" si="18"/>
        <v>0</v>
      </c>
      <c r="AJ22" s="174">
        <f t="shared" si="19"/>
        <v>0</v>
      </c>
      <c r="AK22" s="174">
        <f t="shared" si="20"/>
        <v>0</v>
      </c>
      <c r="AL22" s="174">
        <f t="shared" si="21"/>
        <v>0</v>
      </c>
      <c r="AM22" s="174">
        <f t="shared" si="22"/>
        <v>0</v>
      </c>
      <c r="AN22" s="174">
        <f t="shared" si="23"/>
        <v>0</v>
      </c>
      <c r="AO22" s="8">
        <f t="shared" si="32"/>
        <v>0</v>
      </c>
      <c r="AQ22" s="1" t="str">
        <f>rail15</f>
        <v>Route 15</v>
      </c>
      <c r="AR22" s="174">
        <f t="shared" si="24"/>
        <v>0</v>
      </c>
      <c r="AS22" s="174">
        <f t="shared" si="25"/>
        <v>0</v>
      </c>
      <c r="AT22" s="174">
        <f t="shared" si="26"/>
        <v>0</v>
      </c>
      <c r="AU22" s="174">
        <f t="shared" si="27"/>
        <v>0</v>
      </c>
      <c r="AV22" s="174">
        <f t="shared" si="28"/>
        <v>0</v>
      </c>
      <c r="AW22" s="174">
        <f t="shared" si="29"/>
        <v>0</v>
      </c>
      <c r="AX22" s="174">
        <f t="shared" si="30"/>
        <v>0</v>
      </c>
      <c r="AY22" s="174">
        <f t="shared" si="31"/>
        <v>0</v>
      </c>
      <c r="AZ22" s="8">
        <f t="shared" si="33"/>
        <v>0</v>
      </c>
    </row>
    <row r="23" spans="2:52" ht="9.75">
      <c r="B23" s="1" t="str">
        <f>rail16</f>
        <v>Route 16</v>
      </c>
      <c r="C23" s="222" t="s">
        <v>83</v>
      </c>
      <c r="D23" s="222" t="s">
        <v>83</v>
      </c>
      <c r="E23" s="222" t="s">
        <v>83</v>
      </c>
      <c r="F23" s="222"/>
      <c r="G23" s="222"/>
      <c r="H23" s="222"/>
      <c r="I23" s="222"/>
      <c r="J23" s="222"/>
      <c r="L23" s="1" t="str">
        <f>rail16</f>
        <v>Route 16</v>
      </c>
      <c r="M23" s="6" t="str">
        <f t="shared" si="0"/>
        <v>Off</v>
      </c>
      <c r="N23" s="6" t="str">
        <f t="shared" si="1"/>
        <v>Off</v>
      </c>
      <c r="O23" s="6" t="str">
        <f t="shared" si="2"/>
        <v>Off</v>
      </c>
      <c r="P23" s="6" t="str">
        <f t="shared" si="3"/>
        <v>Off</v>
      </c>
      <c r="Q23" s="6" t="str">
        <f t="shared" si="4"/>
        <v>Off</v>
      </c>
      <c r="R23" s="6" t="str">
        <f t="shared" si="5"/>
        <v>Off</v>
      </c>
      <c r="S23" s="6" t="str">
        <f t="shared" si="6"/>
        <v>Off</v>
      </c>
      <c r="T23" s="6" t="str">
        <f t="shared" si="7"/>
        <v>Off</v>
      </c>
      <c r="V23" s="1" t="str">
        <f>rail16</f>
        <v>Route 16</v>
      </c>
      <c r="W23" s="6">
        <f t="shared" si="8"/>
        <v>0</v>
      </c>
      <c r="X23" s="6">
        <f t="shared" si="9"/>
        <v>0</v>
      </c>
      <c r="Y23" s="6">
        <f t="shared" si="10"/>
        <v>0</v>
      </c>
      <c r="Z23" s="6">
        <f t="shared" si="11"/>
        <v>0</v>
      </c>
      <c r="AA23" s="6">
        <f t="shared" si="12"/>
        <v>0</v>
      </c>
      <c r="AB23" s="6">
        <f t="shared" si="13"/>
        <v>0</v>
      </c>
      <c r="AC23" s="6">
        <f t="shared" si="14"/>
        <v>0</v>
      </c>
      <c r="AD23" s="6">
        <f t="shared" si="15"/>
        <v>0</v>
      </c>
      <c r="AF23" s="1" t="str">
        <f>rail16</f>
        <v>Route 16</v>
      </c>
      <c r="AG23" s="174">
        <f t="shared" si="16"/>
        <v>0</v>
      </c>
      <c r="AH23" s="174">
        <f t="shared" si="17"/>
        <v>0</v>
      </c>
      <c r="AI23" s="174">
        <f t="shared" si="18"/>
        <v>0</v>
      </c>
      <c r="AJ23" s="174">
        <f t="shared" si="19"/>
        <v>0</v>
      </c>
      <c r="AK23" s="174">
        <f t="shared" si="20"/>
        <v>0</v>
      </c>
      <c r="AL23" s="174">
        <f t="shared" si="21"/>
        <v>0</v>
      </c>
      <c r="AM23" s="174">
        <f t="shared" si="22"/>
        <v>0</v>
      </c>
      <c r="AN23" s="174">
        <f t="shared" si="23"/>
        <v>0</v>
      </c>
      <c r="AO23" s="8">
        <f t="shared" si="32"/>
        <v>0</v>
      </c>
      <c r="AQ23" s="1" t="str">
        <f>rail16</f>
        <v>Route 16</v>
      </c>
      <c r="AR23" s="174">
        <f t="shared" si="24"/>
        <v>0</v>
      </c>
      <c r="AS23" s="174">
        <f t="shared" si="25"/>
        <v>0</v>
      </c>
      <c r="AT23" s="174">
        <f t="shared" si="26"/>
        <v>0</v>
      </c>
      <c r="AU23" s="174">
        <f t="shared" si="27"/>
        <v>0</v>
      </c>
      <c r="AV23" s="174">
        <f t="shared" si="28"/>
        <v>0</v>
      </c>
      <c r="AW23" s="174">
        <f t="shared" si="29"/>
        <v>0</v>
      </c>
      <c r="AX23" s="174">
        <f t="shared" si="30"/>
        <v>0</v>
      </c>
      <c r="AY23" s="174">
        <f t="shared" si="31"/>
        <v>0</v>
      </c>
      <c r="AZ23" s="8">
        <f t="shared" si="33"/>
        <v>0</v>
      </c>
    </row>
    <row r="24" spans="2:52" ht="9.75">
      <c r="B24" s="1" t="str">
        <f>rail17</f>
        <v>Route 17</v>
      </c>
      <c r="C24" s="222" t="s">
        <v>83</v>
      </c>
      <c r="D24" s="222" t="s">
        <v>83</v>
      </c>
      <c r="E24" s="222" t="s">
        <v>83</v>
      </c>
      <c r="F24" s="222"/>
      <c r="G24" s="222"/>
      <c r="H24" s="222"/>
      <c r="I24" s="222"/>
      <c r="J24" s="222"/>
      <c r="L24" s="1" t="str">
        <f>rail17</f>
        <v>Route 17</v>
      </c>
      <c r="M24" s="6" t="str">
        <f t="shared" si="0"/>
        <v>Off</v>
      </c>
      <c r="N24" s="6" t="str">
        <f t="shared" si="1"/>
        <v>Off</v>
      </c>
      <c r="O24" s="6" t="str">
        <f t="shared" si="2"/>
        <v>Off</v>
      </c>
      <c r="P24" s="6" t="str">
        <f t="shared" si="3"/>
        <v>Off</v>
      </c>
      <c r="Q24" s="6" t="str">
        <f t="shared" si="4"/>
        <v>Off</v>
      </c>
      <c r="R24" s="6" t="str">
        <f t="shared" si="5"/>
        <v>Off</v>
      </c>
      <c r="S24" s="6" t="str">
        <f t="shared" si="6"/>
        <v>Off</v>
      </c>
      <c r="T24" s="6" t="str">
        <f t="shared" si="7"/>
        <v>Off</v>
      </c>
      <c r="V24" s="1" t="str">
        <f>rail17</f>
        <v>Route 17</v>
      </c>
      <c r="W24" s="6">
        <f t="shared" si="8"/>
        <v>0</v>
      </c>
      <c r="X24" s="6">
        <f t="shared" si="9"/>
        <v>0</v>
      </c>
      <c r="Y24" s="6">
        <f t="shared" si="10"/>
        <v>0</v>
      </c>
      <c r="Z24" s="6">
        <f t="shared" si="11"/>
        <v>0</v>
      </c>
      <c r="AA24" s="6">
        <f t="shared" si="12"/>
        <v>0</v>
      </c>
      <c r="AB24" s="6">
        <f t="shared" si="13"/>
        <v>0</v>
      </c>
      <c r="AC24" s="6">
        <f t="shared" si="14"/>
        <v>0</v>
      </c>
      <c r="AD24" s="6">
        <f t="shared" si="15"/>
        <v>0</v>
      </c>
      <c r="AF24" s="1" t="str">
        <f>rail17</f>
        <v>Route 17</v>
      </c>
      <c r="AG24" s="174">
        <f t="shared" si="16"/>
        <v>0</v>
      </c>
      <c r="AH24" s="174">
        <f t="shared" si="17"/>
        <v>0</v>
      </c>
      <c r="AI24" s="174">
        <f t="shared" si="18"/>
        <v>0</v>
      </c>
      <c r="AJ24" s="174">
        <f t="shared" si="19"/>
        <v>0</v>
      </c>
      <c r="AK24" s="174">
        <f t="shared" si="20"/>
        <v>0</v>
      </c>
      <c r="AL24" s="174">
        <f t="shared" si="21"/>
        <v>0</v>
      </c>
      <c r="AM24" s="174">
        <f t="shared" si="22"/>
        <v>0</v>
      </c>
      <c r="AN24" s="174">
        <f t="shared" si="23"/>
        <v>0</v>
      </c>
      <c r="AO24" s="8">
        <f t="shared" si="32"/>
        <v>0</v>
      </c>
      <c r="AQ24" s="1" t="str">
        <f>rail17</f>
        <v>Route 17</v>
      </c>
      <c r="AR24" s="174">
        <f t="shared" si="24"/>
        <v>0</v>
      </c>
      <c r="AS24" s="174">
        <f t="shared" si="25"/>
        <v>0</v>
      </c>
      <c r="AT24" s="174">
        <f t="shared" si="26"/>
        <v>0</v>
      </c>
      <c r="AU24" s="174">
        <f t="shared" si="27"/>
        <v>0</v>
      </c>
      <c r="AV24" s="174">
        <f t="shared" si="28"/>
        <v>0</v>
      </c>
      <c r="AW24" s="174">
        <f t="shared" si="29"/>
        <v>0</v>
      </c>
      <c r="AX24" s="174">
        <f t="shared" si="30"/>
        <v>0</v>
      </c>
      <c r="AY24" s="174">
        <f t="shared" si="31"/>
        <v>0</v>
      </c>
      <c r="AZ24" s="8">
        <f t="shared" si="33"/>
        <v>0</v>
      </c>
    </row>
    <row r="25" spans="2:52" ht="9.75">
      <c r="B25" s="1" t="str">
        <f>rail18</f>
        <v>Route 18</v>
      </c>
      <c r="C25" s="222" t="s">
        <v>83</v>
      </c>
      <c r="D25" s="222" t="s">
        <v>83</v>
      </c>
      <c r="E25" s="222" t="s">
        <v>83</v>
      </c>
      <c r="F25" s="222"/>
      <c r="G25" s="222"/>
      <c r="H25" s="222"/>
      <c r="I25" s="222"/>
      <c r="J25" s="222"/>
      <c r="L25" s="1" t="str">
        <f>rail18</f>
        <v>Route 18</v>
      </c>
      <c r="M25" s="6" t="str">
        <f t="shared" si="0"/>
        <v>Off</v>
      </c>
      <c r="N25" s="6" t="str">
        <f t="shared" si="1"/>
        <v>Off</v>
      </c>
      <c r="O25" s="6" t="str">
        <f t="shared" si="2"/>
        <v>Off</v>
      </c>
      <c r="P25" s="6" t="str">
        <f t="shared" si="3"/>
        <v>Off</v>
      </c>
      <c r="Q25" s="6" t="str">
        <f t="shared" si="4"/>
        <v>Off</v>
      </c>
      <c r="R25" s="6" t="str">
        <f t="shared" si="5"/>
        <v>Off</v>
      </c>
      <c r="S25" s="6" t="str">
        <f t="shared" si="6"/>
        <v>Off</v>
      </c>
      <c r="T25" s="6" t="str">
        <f t="shared" si="7"/>
        <v>Off</v>
      </c>
      <c r="V25" s="1" t="str">
        <f>rail18</f>
        <v>Route 18</v>
      </c>
      <c r="W25" s="6">
        <f t="shared" si="8"/>
        <v>0</v>
      </c>
      <c r="X25" s="6">
        <f t="shared" si="9"/>
        <v>0</v>
      </c>
      <c r="Y25" s="6">
        <f t="shared" si="10"/>
        <v>0</v>
      </c>
      <c r="Z25" s="6">
        <f t="shared" si="11"/>
        <v>0</v>
      </c>
      <c r="AA25" s="6">
        <f t="shared" si="12"/>
        <v>0</v>
      </c>
      <c r="AB25" s="6">
        <f t="shared" si="13"/>
        <v>0</v>
      </c>
      <c r="AC25" s="6">
        <f t="shared" si="14"/>
        <v>0</v>
      </c>
      <c r="AD25" s="6">
        <f t="shared" si="15"/>
        <v>0</v>
      </c>
      <c r="AF25" s="1" t="str">
        <f>rail18</f>
        <v>Route 18</v>
      </c>
      <c r="AG25" s="174">
        <f t="shared" si="16"/>
        <v>0</v>
      </c>
      <c r="AH25" s="174">
        <f t="shared" si="17"/>
        <v>0</v>
      </c>
      <c r="AI25" s="174">
        <f t="shared" si="18"/>
        <v>0</v>
      </c>
      <c r="AJ25" s="174">
        <f t="shared" si="19"/>
        <v>0</v>
      </c>
      <c r="AK25" s="174">
        <f t="shared" si="20"/>
        <v>0</v>
      </c>
      <c r="AL25" s="174">
        <f t="shared" si="21"/>
        <v>0</v>
      </c>
      <c r="AM25" s="174">
        <f t="shared" si="22"/>
        <v>0</v>
      </c>
      <c r="AN25" s="174">
        <f t="shared" si="23"/>
        <v>0</v>
      </c>
      <c r="AO25" s="8">
        <f t="shared" si="32"/>
        <v>0</v>
      </c>
      <c r="AQ25" s="1" t="str">
        <f>rail18</f>
        <v>Route 18</v>
      </c>
      <c r="AR25" s="174">
        <f t="shared" si="24"/>
        <v>0</v>
      </c>
      <c r="AS25" s="174">
        <f t="shared" si="25"/>
        <v>0</v>
      </c>
      <c r="AT25" s="174">
        <f t="shared" si="26"/>
        <v>0</v>
      </c>
      <c r="AU25" s="174">
        <f t="shared" si="27"/>
        <v>0</v>
      </c>
      <c r="AV25" s="174">
        <f t="shared" si="28"/>
        <v>0</v>
      </c>
      <c r="AW25" s="174">
        <f t="shared" si="29"/>
        <v>0</v>
      </c>
      <c r="AX25" s="174">
        <f t="shared" si="30"/>
        <v>0</v>
      </c>
      <c r="AY25" s="174">
        <f t="shared" si="31"/>
        <v>0</v>
      </c>
      <c r="AZ25" s="8">
        <f t="shared" si="33"/>
        <v>0</v>
      </c>
    </row>
    <row r="26" spans="2:52" ht="9.75">
      <c r="B26" s="1" t="str">
        <f>rail19</f>
        <v>Route 19</v>
      </c>
      <c r="C26" s="222" t="s">
        <v>83</v>
      </c>
      <c r="D26" s="222" t="s">
        <v>83</v>
      </c>
      <c r="E26" s="222" t="s">
        <v>83</v>
      </c>
      <c r="F26" s="222"/>
      <c r="G26" s="222"/>
      <c r="H26" s="222"/>
      <c r="I26" s="222"/>
      <c r="J26" s="222"/>
      <c r="L26" s="1" t="str">
        <f>rail19</f>
        <v>Route 19</v>
      </c>
      <c r="M26" s="6" t="str">
        <f t="shared" si="0"/>
        <v>Off</v>
      </c>
      <c r="N26" s="6" t="str">
        <f t="shared" si="1"/>
        <v>Off</v>
      </c>
      <c r="O26" s="6" t="str">
        <f t="shared" si="2"/>
        <v>Off</v>
      </c>
      <c r="P26" s="6" t="str">
        <f t="shared" si="3"/>
        <v>Off</v>
      </c>
      <c r="Q26" s="6" t="str">
        <f t="shared" si="4"/>
        <v>Off</v>
      </c>
      <c r="R26" s="6" t="str">
        <f t="shared" si="5"/>
        <v>Off</v>
      </c>
      <c r="S26" s="6" t="str">
        <f t="shared" si="6"/>
        <v>Off</v>
      </c>
      <c r="T26" s="6" t="str">
        <f t="shared" si="7"/>
        <v>Off</v>
      </c>
      <c r="V26" s="1" t="str">
        <f>rail19</f>
        <v>Route 19</v>
      </c>
      <c r="W26" s="6">
        <f t="shared" si="8"/>
        <v>0</v>
      </c>
      <c r="X26" s="6">
        <f t="shared" si="9"/>
        <v>0</v>
      </c>
      <c r="Y26" s="6">
        <f t="shared" si="10"/>
        <v>0</v>
      </c>
      <c r="Z26" s="6">
        <f t="shared" si="11"/>
        <v>0</v>
      </c>
      <c r="AA26" s="6">
        <f t="shared" si="12"/>
        <v>0</v>
      </c>
      <c r="AB26" s="6">
        <f t="shared" si="13"/>
        <v>0</v>
      </c>
      <c r="AC26" s="6">
        <f t="shared" si="14"/>
        <v>0</v>
      </c>
      <c r="AD26" s="6">
        <f t="shared" si="15"/>
        <v>0</v>
      </c>
      <c r="AF26" s="1" t="str">
        <f>rail19</f>
        <v>Route 19</v>
      </c>
      <c r="AG26" s="174">
        <f t="shared" si="16"/>
        <v>0</v>
      </c>
      <c r="AH26" s="174">
        <f t="shared" si="17"/>
        <v>0</v>
      </c>
      <c r="AI26" s="174">
        <f t="shared" si="18"/>
        <v>0</v>
      </c>
      <c r="AJ26" s="174">
        <f t="shared" si="19"/>
        <v>0</v>
      </c>
      <c r="AK26" s="174">
        <f t="shared" si="20"/>
        <v>0</v>
      </c>
      <c r="AL26" s="174">
        <f t="shared" si="21"/>
        <v>0</v>
      </c>
      <c r="AM26" s="174">
        <f t="shared" si="22"/>
        <v>0</v>
      </c>
      <c r="AN26" s="174">
        <f t="shared" si="23"/>
        <v>0</v>
      </c>
      <c r="AO26" s="8">
        <f t="shared" si="32"/>
        <v>0</v>
      </c>
      <c r="AQ26" s="1" t="str">
        <f>rail19</f>
        <v>Route 19</v>
      </c>
      <c r="AR26" s="174">
        <f t="shared" si="24"/>
        <v>0</v>
      </c>
      <c r="AS26" s="174">
        <f t="shared" si="25"/>
        <v>0</v>
      </c>
      <c r="AT26" s="174">
        <f t="shared" si="26"/>
        <v>0</v>
      </c>
      <c r="AU26" s="174">
        <f t="shared" si="27"/>
        <v>0</v>
      </c>
      <c r="AV26" s="174">
        <f t="shared" si="28"/>
        <v>0</v>
      </c>
      <c r="AW26" s="174">
        <f t="shared" si="29"/>
        <v>0</v>
      </c>
      <c r="AX26" s="174">
        <f t="shared" si="30"/>
        <v>0</v>
      </c>
      <c r="AY26" s="174">
        <f t="shared" si="31"/>
        <v>0</v>
      </c>
      <c r="AZ26" s="8">
        <f t="shared" si="33"/>
        <v>0</v>
      </c>
    </row>
    <row r="27" spans="2:52" ht="9.75">
      <c r="B27" s="1" t="str">
        <f>rail20</f>
        <v>Route 20</v>
      </c>
      <c r="C27" s="222" t="s">
        <v>83</v>
      </c>
      <c r="D27" s="222" t="s">
        <v>83</v>
      </c>
      <c r="E27" s="222" t="s">
        <v>83</v>
      </c>
      <c r="F27" s="222"/>
      <c r="G27" s="222"/>
      <c r="H27" s="222"/>
      <c r="I27" s="222"/>
      <c r="J27" s="222"/>
      <c r="L27" s="1" t="str">
        <f>rail20</f>
        <v>Route 20</v>
      </c>
      <c r="M27" s="6" t="str">
        <f t="shared" si="0"/>
        <v>Off</v>
      </c>
      <c r="N27" s="6" t="str">
        <f t="shared" si="1"/>
        <v>Off</v>
      </c>
      <c r="O27" s="6" t="str">
        <f t="shared" si="2"/>
        <v>Off</v>
      </c>
      <c r="P27" s="6" t="str">
        <f t="shared" si="3"/>
        <v>Off</v>
      </c>
      <c r="Q27" s="6" t="str">
        <f t="shared" si="4"/>
        <v>Off</v>
      </c>
      <c r="R27" s="6" t="str">
        <f t="shared" si="5"/>
        <v>Off</v>
      </c>
      <c r="S27" s="6" t="str">
        <f t="shared" si="6"/>
        <v>Off</v>
      </c>
      <c r="T27" s="6" t="str">
        <f t="shared" si="7"/>
        <v>Off</v>
      </c>
      <c r="V27" s="1" t="str">
        <f>rail20</f>
        <v>Route 20</v>
      </c>
      <c r="W27" s="6">
        <f t="shared" si="8"/>
        <v>0</v>
      </c>
      <c r="X27" s="6">
        <f t="shared" si="9"/>
        <v>0</v>
      </c>
      <c r="Y27" s="6">
        <f t="shared" si="10"/>
        <v>0</v>
      </c>
      <c r="Z27" s="6">
        <f t="shared" si="11"/>
        <v>0</v>
      </c>
      <c r="AA27" s="6">
        <f t="shared" si="12"/>
        <v>0</v>
      </c>
      <c r="AB27" s="6">
        <f t="shared" si="13"/>
        <v>0</v>
      </c>
      <c r="AC27" s="6">
        <f t="shared" si="14"/>
        <v>0</v>
      </c>
      <c r="AD27" s="6">
        <f t="shared" si="15"/>
        <v>0</v>
      </c>
      <c r="AF27" s="1" t="str">
        <f>rail20</f>
        <v>Route 20</v>
      </c>
      <c r="AG27" s="174">
        <f t="shared" si="16"/>
        <v>0</v>
      </c>
      <c r="AH27" s="174">
        <f t="shared" si="17"/>
        <v>0</v>
      </c>
      <c r="AI27" s="174">
        <f t="shared" si="18"/>
        <v>0</v>
      </c>
      <c r="AJ27" s="174">
        <f t="shared" si="19"/>
        <v>0</v>
      </c>
      <c r="AK27" s="174">
        <f t="shared" si="20"/>
        <v>0</v>
      </c>
      <c r="AL27" s="174">
        <f t="shared" si="21"/>
        <v>0</v>
      </c>
      <c r="AM27" s="174">
        <f t="shared" si="22"/>
        <v>0</v>
      </c>
      <c r="AN27" s="174">
        <f t="shared" si="23"/>
        <v>0</v>
      </c>
      <c r="AO27" s="8">
        <f t="shared" si="32"/>
        <v>0</v>
      </c>
      <c r="AQ27" s="1" t="str">
        <f>rail20</f>
        <v>Route 20</v>
      </c>
      <c r="AR27" s="174">
        <f t="shared" si="24"/>
        <v>0</v>
      </c>
      <c r="AS27" s="174">
        <f t="shared" si="25"/>
        <v>0</v>
      </c>
      <c r="AT27" s="174">
        <f t="shared" si="26"/>
        <v>0</v>
      </c>
      <c r="AU27" s="174">
        <f t="shared" si="27"/>
        <v>0</v>
      </c>
      <c r="AV27" s="174">
        <f t="shared" si="28"/>
        <v>0</v>
      </c>
      <c r="AW27" s="174">
        <f t="shared" si="29"/>
        <v>0</v>
      </c>
      <c r="AX27" s="174">
        <f t="shared" si="30"/>
        <v>0</v>
      </c>
      <c r="AY27" s="174">
        <f t="shared" si="31"/>
        <v>0</v>
      </c>
      <c r="AZ27" s="8">
        <f t="shared" si="33"/>
        <v>0</v>
      </c>
    </row>
    <row r="28" spans="2:30" ht="9.75">
      <c r="B28" s="1" t="s">
        <v>81</v>
      </c>
      <c r="C28" s="1">
        <f aca="true" t="shared" si="34" ref="C28:J28">COUNTIF(C8:C27,"On")</f>
        <v>1</v>
      </c>
      <c r="D28" s="1">
        <f t="shared" si="34"/>
        <v>0</v>
      </c>
      <c r="E28" s="1">
        <f t="shared" si="34"/>
        <v>0</v>
      </c>
      <c r="F28" s="1">
        <f t="shared" si="34"/>
        <v>0</v>
      </c>
      <c r="G28" s="1">
        <f t="shared" si="34"/>
        <v>0</v>
      </c>
      <c r="H28" s="1">
        <f t="shared" si="34"/>
        <v>0</v>
      </c>
      <c r="I28" s="1">
        <f t="shared" si="34"/>
        <v>0</v>
      </c>
      <c r="J28" s="1">
        <f t="shared" si="34"/>
        <v>0</v>
      </c>
      <c r="L28" s="1" t="s">
        <v>81</v>
      </c>
      <c r="M28" s="1">
        <f aca="true" t="shared" si="35" ref="M28:T28">COUNTIF(M8:M27,"On")</f>
        <v>1</v>
      </c>
      <c r="N28" s="1">
        <f t="shared" si="35"/>
        <v>0</v>
      </c>
      <c r="O28" s="1">
        <f t="shared" si="35"/>
        <v>0</v>
      </c>
      <c r="P28" s="1">
        <f t="shared" si="35"/>
        <v>0</v>
      </c>
      <c r="Q28" s="1">
        <f t="shared" si="35"/>
        <v>0</v>
      </c>
      <c r="R28" s="1">
        <f t="shared" si="35"/>
        <v>0</v>
      </c>
      <c r="S28" s="1">
        <f t="shared" si="35"/>
        <v>0</v>
      </c>
      <c r="T28" s="1">
        <f t="shared" si="35"/>
        <v>0</v>
      </c>
      <c r="V28" s="1" t="s">
        <v>81</v>
      </c>
      <c r="W28" s="1">
        <f aca="true" t="shared" si="36" ref="W28:AD28">COUNTIF(W8:W27,"On")</f>
        <v>0</v>
      </c>
      <c r="X28" s="1">
        <f t="shared" si="36"/>
        <v>0</v>
      </c>
      <c r="Y28" s="1">
        <f t="shared" si="36"/>
        <v>0</v>
      </c>
      <c r="Z28" s="1">
        <f t="shared" si="36"/>
        <v>0</v>
      </c>
      <c r="AA28" s="1">
        <f t="shared" si="36"/>
        <v>0</v>
      </c>
      <c r="AB28" s="1">
        <f t="shared" si="36"/>
        <v>0</v>
      </c>
      <c r="AC28" s="1">
        <f t="shared" si="36"/>
        <v>0</v>
      </c>
      <c r="AD28" s="1">
        <f t="shared" si="36"/>
        <v>0</v>
      </c>
    </row>
    <row r="29" spans="12:40" ht="9.75">
      <c r="L29" s="1" t="s">
        <v>88</v>
      </c>
      <c r="M29" s="6" t="str">
        <f aca="true" t="shared" si="37" ref="M29:T29">IF(M28&lt;&gt;C28,"Error","OK")</f>
        <v>OK</v>
      </c>
      <c r="N29" s="6" t="str">
        <f t="shared" si="37"/>
        <v>OK</v>
      </c>
      <c r="O29" s="6" t="str">
        <f t="shared" si="37"/>
        <v>OK</v>
      </c>
      <c r="P29" s="6" t="str">
        <f t="shared" si="37"/>
        <v>OK</v>
      </c>
      <c r="Q29" s="6" t="str">
        <f t="shared" si="37"/>
        <v>OK</v>
      </c>
      <c r="R29" s="6" t="str">
        <f t="shared" si="37"/>
        <v>OK</v>
      </c>
      <c r="S29" s="6" t="str">
        <f t="shared" si="37"/>
        <v>OK</v>
      </c>
      <c r="T29" s="6" t="str">
        <f t="shared" si="37"/>
        <v>OK</v>
      </c>
      <c r="V29" s="1" t="s">
        <v>94</v>
      </c>
      <c r="W29" s="6">
        <f>SUM(W8:W27)</f>
        <v>273534</v>
      </c>
      <c r="X29" s="6">
        <f aca="true" t="shared" si="38" ref="X29:AD29">SUM(X8:X27)</f>
        <v>0</v>
      </c>
      <c r="Y29" s="6">
        <f t="shared" si="38"/>
        <v>0</v>
      </c>
      <c r="Z29" s="6">
        <f t="shared" si="38"/>
        <v>0</v>
      </c>
      <c r="AA29" s="6">
        <f t="shared" si="38"/>
        <v>0</v>
      </c>
      <c r="AB29" s="6">
        <f t="shared" si="38"/>
        <v>0</v>
      </c>
      <c r="AC29" s="6">
        <f t="shared" si="38"/>
        <v>0</v>
      </c>
      <c r="AD29" s="6">
        <f t="shared" si="38"/>
        <v>0</v>
      </c>
      <c r="AG29" s="6"/>
      <c r="AH29" s="6"/>
      <c r="AI29" s="6"/>
      <c r="AJ29" s="6"/>
      <c r="AK29" s="6"/>
      <c r="AL29" s="6"/>
      <c r="AM29" s="6"/>
      <c r="AN29" s="6"/>
    </row>
  </sheetData>
  <sheetProtection sheet="1" objects="1" scenarios="1"/>
  <conditionalFormatting sqref="A1">
    <cfRule type="cellIs" priority="1" dxfId="3" operator="equal" stopIfTrue="1">
      <formula>"All Ok"</formula>
    </cfRule>
    <cfRule type="cellIs" priority="2" dxfId="2" operator="notEqual" stopIfTrue="1">
      <formula>"All Ok"</formula>
    </cfRule>
  </conditionalFormatting>
  <dataValidations count="1">
    <dataValidation type="list" allowBlank="1" showInputMessage="1" showErrorMessage="1" sqref="C8:J27">
      <formula1>"On,Off"</formula1>
    </dataValidation>
  </dataValidations>
  <printOptions/>
  <pageMargins left="0.75" right="0.75" top="1" bottom="1" header="0.5" footer="0.5"/>
  <pageSetup horizontalDpi="600" verticalDpi="600" orientation="portrait" paperSize="9" r:id="rId1"/>
  <headerFooter alignWithMargins="0">
    <oddFooter>&amp;L&amp;F&amp;R&amp;P</oddFooter>
  </headerFooter>
</worksheet>
</file>

<file path=xl/worksheets/sheet7.xml><?xml version="1.0" encoding="utf-8"?>
<worksheet xmlns="http://schemas.openxmlformats.org/spreadsheetml/2006/main" xmlns:r="http://schemas.openxmlformats.org/officeDocument/2006/relationships">
  <sheetPr>
    <tabColor indexed="40"/>
  </sheetPr>
  <dimension ref="A1:K90"/>
  <sheetViews>
    <sheetView zoomScale="85" zoomScaleNormal="85"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K25" sqref="K25"/>
    </sheetView>
  </sheetViews>
  <sheetFormatPr defaultColWidth="9.140625" defaultRowHeight="12.75" outlineLevelRow="2"/>
  <cols>
    <col min="1" max="1" width="5.8515625" style="1" bestFit="1" customWidth="1"/>
    <col min="2" max="2" width="27.7109375" style="1" bestFit="1" customWidth="1"/>
    <col min="3" max="4" width="11.57421875" style="1" bestFit="1" customWidth="1"/>
    <col min="5" max="5" width="15.00390625" style="1" bestFit="1" customWidth="1"/>
    <col min="6" max="10" width="10.57421875" style="1" bestFit="1" customWidth="1"/>
    <col min="11" max="11" width="11.57421875" style="1" bestFit="1" customWidth="1"/>
    <col min="12" max="16384" width="9.140625" style="1" customWidth="1"/>
  </cols>
  <sheetData>
    <row r="1" ht="9.75">
      <c r="A1" s="1" t="str">
        <f>IF(OR(COUNTIF(C43:D43,"Error")&gt;0),"Error","All Ok")</f>
        <v>All Ok</v>
      </c>
    </row>
    <row r="2" spans="2:3" ht="12">
      <c r="B2" s="14" t="str">
        <f>modelname</f>
        <v>3rd Party Access Model</v>
      </c>
      <c r="C2" s="192" t="str">
        <f>HYPERLINK(Contents!$A$1,"Back to Contents Page")</f>
        <v>Back to Contents Page</v>
      </c>
    </row>
    <row r="3" spans="1:2" ht="11.25">
      <c r="A3" s="24"/>
      <c r="B3" s="190" t="s">
        <v>324</v>
      </c>
    </row>
    <row r="4" ht="9.75">
      <c r="B4" s="171" t="str">
        <f>Contents!D39</f>
        <v>This sheet aims to give the user a quick snapshot at how some of the data could be looked at to judge if that data is smart</v>
      </c>
    </row>
    <row r="7" ht="9.75">
      <c r="B7" s="2" t="s">
        <v>124</v>
      </c>
    </row>
    <row r="8" spans="2:3" ht="9.75">
      <c r="B8" s="211" t="s">
        <v>101</v>
      </c>
      <c r="C8" s="198" t="str">
        <f>HYPERLINK(CONCATENATE(workbookname,ADDRESS(ROW('Smart Data'!$A$13),COLUMN('Smart Data'!$A$13),4,1)),"Click Here")</f>
        <v>Click Here</v>
      </c>
    </row>
    <row r="9" spans="2:3" ht="9.75">
      <c r="B9" s="199" t="s">
        <v>310</v>
      </c>
      <c r="C9" s="198" t="str">
        <f>HYPERLINK(CONCATENATE(workbookname,ADDRESS(ROW('Smart Data'!$A$16),COLUMN('Smart Data'!$A$16),4,1)),"Click Here")</f>
        <v>Click Here</v>
      </c>
    </row>
    <row r="10" spans="2:3" ht="9.75">
      <c r="B10" s="199" t="s">
        <v>312</v>
      </c>
      <c r="C10" s="198" t="str">
        <f>HYPERLINK(CONCATENATE(workbookname,ADDRESS(ROW('Smart Data'!$A$28),COLUMN('Smart Data'!$A$28),4,1)),"Click Here")</f>
        <v>Click Here</v>
      </c>
    </row>
    <row r="11" spans="2:3" ht="9.75">
      <c r="B11" s="199" t="s">
        <v>317</v>
      </c>
      <c r="C11" s="198" t="str">
        <f>HYPERLINK(CONCATENATE(workbookname,ADDRESS(ROW('Smart Data'!$A$45),COLUMN('Smart Data'!$A$45),4,1)),"Click Here")</f>
        <v>Click Here</v>
      </c>
    </row>
    <row r="12" spans="2:6" ht="12.75">
      <c r="B12" s="200"/>
      <c r="C12" s="200"/>
      <c r="F12" s="200"/>
    </row>
    <row r="13" spans="1:2" ht="9.75">
      <c r="A13" s="198" t="str">
        <f>HYPERLINK(CONCATENATE(workbookname,"$A$6"),"Top")</f>
        <v>Top</v>
      </c>
      <c r="B13" s="2" t="str">
        <f>Contents!B40</f>
        <v>Rail</v>
      </c>
    </row>
    <row r="14" ht="9.75">
      <c r="B14" s="171" t="str">
        <f>Contents!D40</f>
        <v>The section below contains tests to the validity of the data in relation to the rail network</v>
      </c>
    </row>
    <row r="15" ht="9.75" outlineLevel="1">
      <c r="B15" s="2"/>
    </row>
    <row r="16" spans="1:2" ht="9.75" outlineLevel="1">
      <c r="A16" s="198" t="str">
        <f>HYPERLINK(CONCATENATE(workbookname,"$A$6"),"Top")</f>
        <v>Top</v>
      </c>
      <c r="B16" s="2" t="str">
        <f>Contents!B41</f>
        <v>Tonnes per Train</v>
      </c>
    </row>
    <row r="17" ht="9.75" outlineLevel="1">
      <c r="B17" s="171" t="str">
        <f>Contents!D41</f>
        <v>Calculating the expected tonnes per train</v>
      </c>
    </row>
    <row r="18" spans="2:5" ht="9.75" outlineLevel="2">
      <c r="B18" s="1" t="s">
        <v>315</v>
      </c>
      <c r="C18" s="6" t="s">
        <v>592</v>
      </c>
      <c r="D18" s="6" t="s">
        <v>593</v>
      </c>
      <c r="E18" s="2" t="s">
        <v>311</v>
      </c>
    </row>
    <row r="19" spans="2:5" ht="9.75" outlineLevel="2">
      <c r="B19" s="22" t="str">
        <f>cust1</f>
        <v>FMG - CB</v>
      </c>
      <c r="C19" s="8">
        <f aca="true" t="shared" si="0" ref="C19:C26">VLOOKUP($B19,custdata,2,FALSE)</f>
        <v>40000000</v>
      </c>
      <c r="D19" s="8">
        <f aca="true" t="shared" si="1" ref="D19:D26">VLOOKUP($B19,custdata,3,FALSE)</f>
        <v>1217</v>
      </c>
      <c r="E19" s="176">
        <f>IF(D19=0,0,C19/D19)</f>
        <v>32867.70747740345</v>
      </c>
    </row>
    <row r="20" spans="2:5" ht="9.75" outlineLevel="2">
      <c r="B20" s="22" t="str">
        <f>cust2</f>
        <v>Customer 2</v>
      </c>
      <c r="C20" s="8">
        <f t="shared" si="0"/>
        <v>0</v>
      </c>
      <c r="D20" s="8">
        <f t="shared" si="1"/>
        <v>0</v>
      </c>
      <c r="E20" s="176">
        <f aca="true" t="shared" si="2" ref="E20:E26">IF(D20=0,0,C20/D20)</f>
        <v>0</v>
      </c>
    </row>
    <row r="21" spans="2:5" ht="9.75" outlineLevel="2">
      <c r="B21" s="22" t="str">
        <f>cust3</f>
        <v>Customer 3</v>
      </c>
      <c r="C21" s="8">
        <f t="shared" si="0"/>
        <v>0</v>
      </c>
      <c r="D21" s="8">
        <f t="shared" si="1"/>
        <v>0</v>
      </c>
      <c r="E21" s="177">
        <f t="shared" si="2"/>
        <v>0</v>
      </c>
    </row>
    <row r="22" spans="2:5" ht="9.75" outlineLevel="2">
      <c r="B22" s="22" t="str">
        <f>cust4</f>
        <v>Customer 4</v>
      </c>
      <c r="C22" s="8">
        <f t="shared" si="0"/>
        <v>0</v>
      </c>
      <c r="D22" s="8">
        <f t="shared" si="1"/>
        <v>0</v>
      </c>
      <c r="E22" s="177">
        <f t="shared" si="2"/>
        <v>0</v>
      </c>
    </row>
    <row r="23" spans="2:5" ht="9.75" outlineLevel="2">
      <c r="B23" s="22" t="str">
        <f>cust5</f>
        <v>Customer 5</v>
      </c>
      <c r="C23" s="8">
        <f t="shared" si="0"/>
        <v>0</v>
      </c>
      <c r="D23" s="8">
        <f t="shared" si="1"/>
        <v>0</v>
      </c>
      <c r="E23" s="177">
        <f t="shared" si="2"/>
        <v>0</v>
      </c>
    </row>
    <row r="24" spans="2:5" ht="9.75" outlineLevel="2">
      <c r="B24" s="22" t="str">
        <f>cust6</f>
        <v>Customer 6</v>
      </c>
      <c r="C24" s="8">
        <f t="shared" si="0"/>
        <v>0</v>
      </c>
      <c r="D24" s="8">
        <f t="shared" si="1"/>
        <v>0</v>
      </c>
      <c r="E24" s="177">
        <f t="shared" si="2"/>
        <v>0</v>
      </c>
    </row>
    <row r="25" spans="2:5" ht="9.75" outlineLevel="2">
      <c r="B25" s="22" t="str">
        <f>cust7</f>
        <v>Customer 7</v>
      </c>
      <c r="C25" s="8">
        <f t="shared" si="0"/>
        <v>0</v>
      </c>
      <c r="D25" s="8">
        <f t="shared" si="1"/>
        <v>0</v>
      </c>
      <c r="E25" s="177">
        <f t="shared" si="2"/>
        <v>0</v>
      </c>
    </row>
    <row r="26" spans="2:5" ht="9.75" outlineLevel="2">
      <c r="B26" s="22" t="str">
        <f>cust8</f>
        <v>Customer 8</v>
      </c>
      <c r="C26" s="8">
        <f t="shared" si="0"/>
        <v>0</v>
      </c>
      <c r="D26" s="8">
        <f t="shared" si="1"/>
        <v>0</v>
      </c>
      <c r="E26" s="177">
        <f t="shared" si="2"/>
        <v>0</v>
      </c>
    </row>
    <row r="27" ht="9.75" outlineLevel="1"/>
    <row r="28" spans="1:2" ht="9.75" outlineLevel="1">
      <c r="A28" s="198" t="str">
        <f>HYPERLINK(CONCATENATE(workbookname,"$A$6"),"Top")</f>
        <v>Top</v>
      </c>
      <c r="B28" s="2" t="str">
        <f>Contents!B42</f>
        <v>Rail Capacity</v>
      </c>
    </row>
    <row r="29" ht="9.75" outlineLevel="1">
      <c r="B29" s="171" t="str">
        <f>Contents!D42</f>
        <v>Checking the capacity of the network is within not less than what is expected to flow down the network</v>
      </c>
    </row>
    <row r="30" spans="2:4" ht="9.75" outlineLevel="2">
      <c r="B30" s="1" t="s">
        <v>315</v>
      </c>
      <c r="C30" s="6" t="s">
        <v>592</v>
      </c>
      <c r="D30" s="6" t="s">
        <v>593</v>
      </c>
    </row>
    <row r="31" spans="2:4" ht="9.75" outlineLevel="2">
      <c r="B31" s="22" t="str">
        <f>cust1</f>
        <v>FMG - CB</v>
      </c>
      <c r="C31" s="8">
        <f aca="true" t="shared" si="3" ref="C31:C38">IF(VLOOKUP("On",railswitch,MATCH($B31,railswitchhead,FALSE),FALSE)&gt;0,1,0)*VLOOKUP($B31,custdata,2,FALSE)</f>
        <v>40000000</v>
      </c>
      <c r="D31" s="8">
        <f aca="true" t="shared" si="4" ref="D31:D38">IF(VLOOKUP("On",railswitch,MATCH($B31,railswitchhead,FALSE),FALSE)&gt;0,1,0)*VLOOKUP($B31,custdata,3,FALSE)</f>
        <v>1217</v>
      </c>
    </row>
    <row r="32" spans="2:4" ht="9.75" outlineLevel="2">
      <c r="B32" s="22" t="str">
        <f>cust2</f>
        <v>Customer 2</v>
      </c>
      <c r="C32" s="8">
        <f t="shared" si="3"/>
        <v>0</v>
      </c>
      <c r="D32" s="8">
        <f t="shared" si="4"/>
        <v>0</v>
      </c>
    </row>
    <row r="33" spans="2:4" ht="9.75" outlineLevel="2">
      <c r="B33" s="22" t="str">
        <f>cust3</f>
        <v>Customer 3</v>
      </c>
      <c r="C33" s="8">
        <f t="shared" si="3"/>
        <v>0</v>
      </c>
      <c r="D33" s="8">
        <f t="shared" si="4"/>
        <v>0</v>
      </c>
    </row>
    <row r="34" spans="2:4" ht="9.75" outlineLevel="2">
      <c r="B34" s="22" t="str">
        <f>cust4</f>
        <v>Customer 4</v>
      </c>
      <c r="C34" s="8">
        <f t="shared" si="3"/>
        <v>0</v>
      </c>
      <c r="D34" s="8">
        <f t="shared" si="4"/>
        <v>0</v>
      </c>
    </row>
    <row r="35" spans="2:4" ht="9.75" outlineLevel="2">
      <c r="B35" s="22" t="str">
        <f>cust5</f>
        <v>Customer 5</v>
      </c>
      <c r="C35" s="8">
        <f t="shared" si="3"/>
        <v>0</v>
      </c>
      <c r="D35" s="8">
        <f t="shared" si="4"/>
        <v>0</v>
      </c>
    </row>
    <row r="36" spans="2:4" ht="9.75" outlineLevel="2">
      <c r="B36" s="22" t="str">
        <f>cust6</f>
        <v>Customer 6</v>
      </c>
      <c r="C36" s="8">
        <f t="shared" si="3"/>
        <v>0</v>
      </c>
      <c r="D36" s="8">
        <f t="shared" si="4"/>
        <v>0</v>
      </c>
    </row>
    <row r="37" spans="2:4" ht="9.75" outlineLevel="2">
      <c r="B37" s="22" t="str">
        <f>cust7</f>
        <v>Customer 7</v>
      </c>
      <c r="C37" s="8">
        <f t="shared" si="3"/>
        <v>0</v>
      </c>
      <c r="D37" s="8">
        <f t="shared" si="4"/>
        <v>0</v>
      </c>
    </row>
    <row r="38" spans="2:4" ht="9.75" outlineLevel="2">
      <c r="B38" s="22" t="str">
        <f>cust8</f>
        <v>Customer 8</v>
      </c>
      <c r="C38" s="8">
        <f t="shared" si="3"/>
        <v>0</v>
      </c>
      <c r="D38" s="8">
        <f t="shared" si="4"/>
        <v>0</v>
      </c>
    </row>
    <row r="39" spans="2:4" ht="9.75" outlineLevel="2">
      <c r="B39" s="1" t="s">
        <v>94</v>
      </c>
      <c r="C39" s="8">
        <f>SUM(C31:C38)</f>
        <v>40000000</v>
      </c>
      <c r="D39" s="8">
        <f>SUM(D31:D38)</f>
        <v>1217</v>
      </c>
    </row>
    <row r="40" spans="2:4" ht="9.75" outlineLevel="2">
      <c r="B40" s="1" t="s">
        <v>314</v>
      </c>
      <c r="C40" s="8"/>
      <c r="D40" s="8"/>
    </row>
    <row r="41" spans="2:4" ht="9.75" outlineLevel="2">
      <c r="B41" s="22" t="s">
        <v>591</v>
      </c>
      <c r="C41" s="8">
        <f>VLOOKUP($B41,effcapacity,2,FALSE)</f>
        <v>40000000</v>
      </c>
      <c r="D41" s="8">
        <f>VLOOKUP($B41,effcapacity,3,FALSE)</f>
        <v>1217</v>
      </c>
    </row>
    <row r="42" ht="9.75" outlineLevel="2"/>
    <row r="43" spans="2:4" ht="9.75" outlineLevel="1">
      <c r="B43" s="2" t="s">
        <v>313</v>
      </c>
      <c r="C43" s="9" t="str">
        <f>IF(C39&gt;C41,"Error","Ok")</f>
        <v>Ok</v>
      </c>
      <c r="D43" s="9" t="str">
        <f>IF(D39&gt;D41,"Error","Ok")</f>
        <v>Ok</v>
      </c>
    </row>
    <row r="44" ht="9.75" outlineLevel="1"/>
    <row r="45" spans="1:2" ht="9.75" outlineLevel="1">
      <c r="A45" s="198" t="str">
        <f>HYPERLINK(CONCATENATE(workbookname,"$A$6"),"Top")</f>
        <v>Top</v>
      </c>
      <c r="B45" s="2" t="str">
        <f>Contents!B43</f>
        <v>Rail Segment Entry / Exit</v>
      </c>
    </row>
    <row r="46" ht="9.75" outlineLevel="1">
      <c r="B46" s="171" t="str">
        <f>Contents!D43</f>
        <v>Checks when customers join and leave the rail network</v>
      </c>
    </row>
    <row r="47" spans="3:11" ht="9.75" outlineLevel="2">
      <c r="C47" s="15" t="str">
        <f>cust1</f>
        <v>FMG - CB</v>
      </c>
      <c r="D47" s="15" t="str">
        <f>cust2</f>
        <v>Customer 2</v>
      </c>
      <c r="E47" s="15" t="str">
        <f>cust3</f>
        <v>Customer 3</v>
      </c>
      <c r="F47" s="15" t="str">
        <f>cust4</f>
        <v>Customer 4</v>
      </c>
      <c r="G47" s="15" t="str">
        <f>cust5</f>
        <v>Customer 5</v>
      </c>
      <c r="H47" s="15" t="str">
        <f>cust6</f>
        <v>Customer 6</v>
      </c>
      <c r="I47" s="15" t="str">
        <f>cust7</f>
        <v>Customer 7</v>
      </c>
      <c r="J47" s="15" t="str">
        <f>cust8</f>
        <v>Customer 8</v>
      </c>
      <c r="K47" s="6" t="s">
        <v>94</v>
      </c>
    </row>
    <row r="48" spans="2:11" ht="9.75" outlineLevel="2">
      <c r="B48" s="178" t="str">
        <f>rail1</f>
        <v>Cloudbreak to Port Dumper</v>
      </c>
      <c r="C48" s="8">
        <f aca="true" t="shared" si="5" ref="C48:J57">VLOOKUP($B48,custrailsegtonne,MATCH(C$47,custrailsegtonnehead,FALSE),FALSE)</f>
        <v>40000000</v>
      </c>
      <c r="D48" s="8">
        <f t="shared" si="5"/>
        <v>0</v>
      </c>
      <c r="E48" s="8">
        <f t="shared" si="5"/>
        <v>0</v>
      </c>
      <c r="F48" s="8">
        <f t="shared" si="5"/>
        <v>0</v>
      </c>
      <c r="G48" s="8">
        <f t="shared" si="5"/>
        <v>0</v>
      </c>
      <c r="H48" s="8">
        <f t="shared" si="5"/>
        <v>0</v>
      </c>
      <c r="I48" s="8">
        <f t="shared" si="5"/>
        <v>0</v>
      </c>
      <c r="J48" s="8">
        <f t="shared" si="5"/>
        <v>0</v>
      </c>
      <c r="K48" s="8">
        <f>SUM(C48:J48)</f>
        <v>40000000</v>
      </c>
    </row>
    <row r="49" spans="2:11" ht="9.75" outlineLevel="2">
      <c r="B49" s="178" t="str">
        <f>rail2</f>
        <v>Route 2</v>
      </c>
      <c r="C49" s="8">
        <f t="shared" si="5"/>
        <v>0</v>
      </c>
      <c r="D49" s="8">
        <f t="shared" si="5"/>
        <v>0</v>
      </c>
      <c r="E49" s="8">
        <f t="shared" si="5"/>
        <v>0</v>
      </c>
      <c r="F49" s="8">
        <f t="shared" si="5"/>
        <v>0</v>
      </c>
      <c r="G49" s="8">
        <f t="shared" si="5"/>
        <v>0</v>
      </c>
      <c r="H49" s="8">
        <f t="shared" si="5"/>
        <v>0</v>
      </c>
      <c r="I49" s="8">
        <f t="shared" si="5"/>
        <v>0</v>
      </c>
      <c r="J49" s="8">
        <f t="shared" si="5"/>
        <v>0</v>
      </c>
      <c r="K49" s="8">
        <f>SUM(C49:J49)</f>
        <v>0</v>
      </c>
    </row>
    <row r="50" spans="2:11" ht="9.75" outlineLevel="2">
      <c r="B50" s="178" t="str">
        <f>rail3</f>
        <v>Route 3</v>
      </c>
      <c r="C50" s="8">
        <f t="shared" si="5"/>
        <v>0</v>
      </c>
      <c r="D50" s="8">
        <f t="shared" si="5"/>
        <v>0</v>
      </c>
      <c r="E50" s="8">
        <f t="shared" si="5"/>
        <v>0</v>
      </c>
      <c r="F50" s="8">
        <f t="shared" si="5"/>
        <v>0</v>
      </c>
      <c r="G50" s="8">
        <f t="shared" si="5"/>
        <v>0</v>
      </c>
      <c r="H50" s="8">
        <f t="shared" si="5"/>
        <v>0</v>
      </c>
      <c r="I50" s="8">
        <f t="shared" si="5"/>
        <v>0</v>
      </c>
      <c r="J50" s="8">
        <f t="shared" si="5"/>
        <v>0</v>
      </c>
      <c r="K50" s="8">
        <f>SUM(C50:J50)</f>
        <v>0</v>
      </c>
    </row>
    <row r="51" spans="2:11" ht="9.75" outlineLevel="2">
      <c r="B51" s="178" t="str">
        <f>rail4</f>
        <v>Route 4</v>
      </c>
      <c r="C51" s="8">
        <f t="shared" si="5"/>
        <v>0</v>
      </c>
      <c r="D51" s="8">
        <f t="shared" si="5"/>
        <v>0</v>
      </c>
      <c r="E51" s="8">
        <f t="shared" si="5"/>
        <v>0</v>
      </c>
      <c r="F51" s="8">
        <f t="shared" si="5"/>
        <v>0</v>
      </c>
      <c r="G51" s="8">
        <f t="shared" si="5"/>
        <v>0</v>
      </c>
      <c r="H51" s="8">
        <f t="shared" si="5"/>
        <v>0</v>
      </c>
      <c r="I51" s="8">
        <f t="shared" si="5"/>
        <v>0</v>
      </c>
      <c r="J51" s="8">
        <f t="shared" si="5"/>
        <v>0</v>
      </c>
      <c r="K51" s="8">
        <f>SUM(C51:J51)</f>
        <v>0</v>
      </c>
    </row>
    <row r="52" spans="2:11" ht="9.75" outlineLevel="2">
      <c r="B52" s="178" t="str">
        <f>rail5</f>
        <v>Route 5</v>
      </c>
      <c r="C52" s="8">
        <f t="shared" si="5"/>
        <v>0</v>
      </c>
      <c r="D52" s="8">
        <f t="shared" si="5"/>
        <v>0</v>
      </c>
      <c r="E52" s="8">
        <f t="shared" si="5"/>
        <v>0</v>
      </c>
      <c r="F52" s="8">
        <f t="shared" si="5"/>
        <v>0</v>
      </c>
      <c r="G52" s="8">
        <f t="shared" si="5"/>
        <v>0</v>
      </c>
      <c r="H52" s="8">
        <f t="shared" si="5"/>
        <v>0</v>
      </c>
      <c r="I52" s="8">
        <f t="shared" si="5"/>
        <v>0</v>
      </c>
      <c r="J52" s="8">
        <f t="shared" si="5"/>
        <v>0</v>
      </c>
      <c r="K52" s="8">
        <f>SUM(C52:J52)</f>
        <v>0</v>
      </c>
    </row>
    <row r="53" spans="2:11" ht="9.75" outlineLevel="2">
      <c r="B53" s="178" t="str">
        <f>rail6</f>
        <v>Route 6</v>
      </c>
      <c r="C53" s="8">
        <f t="shared" si="5"/>
        <v>0</v>
      </c>
      <c r="D53" s="8">
        <f t="shared" si="5"/>
        <v>0</v>
      </c>
      <c r="E53" s="8">
        <f t="shared" si="5"/>
        <v>0</v>
      </c>
      <c r="F53" s="8">
        <f t="shared" si="5"/>
        <v>0</v>
      </c>
      <c r="G53" s="8">
        <f t="shared" si="5"/>
        <v>0</v>
      </c>
      <c r="H53" s="8">
        <f t="shared" si="5"/>
        <v>0</v>
      </c>
      <c r="I53" s="8">
        <f t="shared" si="5"/>
        <v>0</v>
      </c>
      <c r="J53" s="8">
        <f t="shared" si="5"/>
        <v>0</v>
      </c>
      <c r="K53" s="8">
        <f aca="true" t="shared" si="6" ref="K53:K67">SUM(C53:J53)</f>
        <v>0</v>
      </c>
    </row>
    <row r="54" spans="2:11" ht="9.75" outlineLevel="2">
      <c r="B54" s="178" t="str">
        <f>rail7</f>
        <v>Route 7</v>
      </c>
      <c r="C54" s="8">
        <f t="shared" si="5"/>
        <v>0</v>
      </c>
      <c r="D54" s="8">
        <f t="shared" si="5"/>
        <v>0</v>
      </c>
      <c r="E54" s="8">
        <f t="shared" si="5"/>
        <v>0</v>
      </c>
      <c r="F54" s="8">
        <f t="shared" si="5"/>
        <v>0</v>
      </c>
      <c r="G54" s="8">
        <f t="shared" si="5"/>
        <v>0</v>
      </c>
      <c r="H54" s="8">
        <f t="shared" si="5"/>
        <v>0</v>
      </c>
      <c r="I54" s="8">
        <f t="shared" si="5"/>
        <v>0</v>
      </c>
      <c r="J54" s="8">
        <f t="shared" si="5"/>
        <v>0</v>
      </c>
      <c r="K54" s="8">
        <f t="shared" si="6"/>
        <v>0</v>
      </c>
    </row>
    <row r="55" spans="2:11" ht="9.75" outlineLevel="2">
      <c r="B55" s="178" t="str">
        <f>rail8</f>
        <v>Route 8</v>
      </c>
      <c r="C55" s="8">
        <f t="shared" si="5"/>
        <v>0</v>
      </c>
      <c r="D55" s="8">
        <f t="shared" si="5"/>
        <v>0</v>
      </c>
      <c r="E55" s="8">
        <f t="shared" si="5"/>
        <v>0</v>
      </c>
      <c r="F55" s="8">
        <f t="shared" si="5"/>
        <v>0</v>
      </c>
      <c r="G55" s="8">
        <f t="shared" si="5"/>
        <v>0</v>
      </c>
      <c r="H55" s="8">
        <f t="shared" si="5"/>
        <v>0</v>
      </c>
      <c r="I55" s="8">
        <f t="shared" si="5"/>
        <v>0</v>
      </c>
      <c r="J55" s="8">
        <f t="shared" si="5"/>
        <v>0</v>
      </c>
      <c r="K55" s="8">
        <f t="shared" si="6"/>
        <v>0</v>
      </c>
    </row>
    <row r="56" spans="2:11" ht="9.75" outlineLevel="2">
      <c r="B56" s="178" t="str">
        <f>rail9</f>
        <v>Route 9</v>
      </c>
      <c r="C56" s="8">
        <f t="shared" si="5"/>
        <v>0</v>
      </c>
      <c r="D56" s="8">
        <f t="shared" si="5"/>
        <v>0</v>
      </c>
      <c r="E56" s="8">
        <f t="shared" si="5"/>
        <v>0</v>
      </c>
      <c r="F56" s="8">
        <f t="shared" si="5"/>
        <v>0</v>
      </c>
      <c r="G56" s="8">
        <f t="shared" si="5"/>
        <v>0</v>
      </c>
      <c r="H56" s="8">
        <f t="shared" si="5"/>
        <v>0</v>
      </c>
      <c r="I56" s="8">
        <f t="shared" si="5"/>
        <v>0</v>
      </c>
      <c r="J56" s="8">
        <f t="shared" si="5"/>
        <v>0</v>
      </c>
      <c r="K56" s="8">
        <f t="shared" si="6"/>
        <v>0</v>
      </c>
    </row>
    <row r="57" spans="2:11" ht="9.75" outlineLevel="2">
      <c r="B57" s="178" t="str">
        <f>rail10</f>
        <v>Route 10</v>
      </c>
      <c r="C57" s="8">
        <f t="shared" si="5"/>
        <v>0</v>
      </c>
      <c r="D57" s="8">
        <f t="shared" si="5"/>
        <v>0</v>
      </c>
      <c r="E57" s="8">
        <f t="shared" si="5"/>
        <v>0</v>
      </c>
      <c r="F57" s="8">
        <f t="shared" si="5"/>
        <v>0</v>
      </c>
      <c r="G57" s="8">
        <f t="shared" si="5"/>
        <v>0</v>
      </c>
      <c r="H57" s="8">
        <f t="shared" si="5"/>
        <v>0</v>
      </c>
      <c r="I57" s="8">
        <f t="shared" si="5"/>
        <v>0</v>
      </c>
      <c r="J57" s="8">
        <f t="shared" si="5"/>
        <v>0</v>
      </c>
      <c r="K57" s="8">
        <f t="shared" si="6"/>
        <v>0</v>
      </c>
    </row>
    <row r="58" spans="2:11" ht="9.75" outlineLevel="2">
      <c r="B58" s="178" t="str">
        <f>rail11</f>
        <v>Route 11</v>
      </c>
      <c r="C58" s="8">
        <f aca="true" t="shared" si="7" ref="C58:J67">VLOOKUP($B58,custrailsegtonne,MATCH(C$47,custrailsegtonnehead,FALSE),FALSE)</f>
        <v>0</v>
      </c>
      <c r="D58" s="8">
        <f t="shared" si="7"/>
        <v>0</v>
      </c>
      <c r="E58" s="8">
        <f t="shared" si="7"/>
        <v>0</v>
      </c>
      <c r="F58" s="8">
        <f t="shared" si="7"/>
        <v>0</v>
      </c>
      <c r="G58" s="8">
        <f t="shared" si="7"/>
        <v>0</v>
      </c>
      <c r="H58" s="8">
        <f t="shared" si="7"/>
        <v>0</v>
      </c>
      <c r="I58" s="8">
        <f t="shared" si="7"/>
        <v>0</v>
      </c>
      <c r="J58" s="8">
        <f t="shared" si="7"/>
        <v>0</v>
      </c>
      <c r="K58" s="8">
        <f t="shared" si="6"/>
        <v>0</v>
      </c>
    </row>
    <row r="59" spans="2:11" ht="9.75" outlineLevel="2">
      <c r="B59" s="178" t="str">
        <f>rail12</f>
        <v>Route 12</v>
      </c>
      <c r="C59" s="8">
        <f t="shared" si="7"/>
        <v>0</v>
      </c>
      <c r="D59" s="8">
        <f t="shared" si="7"/>
        <v>0</v>
      </c>
      <c r="E59" s="8">
        <f t="shared" si="7"/>
        <v>0</v>
      </c>
      <c r="F59" s="8">
        <f t="shared" si="7"/>
        <v>0</v>
      </c>
      <c r="G59" s="8">
        <f t="shared" si="7"/>
        <v>0</v>
      </c>
      <c r="H59" s="8">
        <f t="shared" si="7"/>
        <v>0</v>
      </c>
      <c r="I59" s="8">
        <f t="shared" si="7"/>
        <v>0</v>
      </c>
      <c r="J59" s="8">
        <f t="shared" si="7"/>
        <v>0</v>
      </c>
      <c r="K59" s="8">
        <f t="shared" si="6"/>
        <v>0</v>
      </c>
    </row>
    <row r="60" spans="2:11" ht="9.75" outlineLevel="2">
      <c r="B60" s="178" t="str">
        <f>rail13</f>
        <v>Route 13</v>
      </c>
      <c r="C60" s="8">
        <f t="shared" si="7"/>
        <v>0</v>
      </c>
      <c r="D60" s="8">
        <f t="shared" si="7"/>
        <v>0</v>
      </c>
      <c r="E60" s="8">
        <f t="shared" si="7"/>
        <v>0</v>
      </c>
      <c r="F60" s="8">
        <f t="shared" si="7"/>
        <v>0</v>
      </c>
      <c r="G60" s="8">
        <f t="shared" si="7"/>
        <v>0</v>
      </c>
      <c r="H60" s="8">
        <f t="shared" si="7"/>
        <v>0</v>
      </c>
      <c r="I60" s="8">
        <f t="shared" si="7"/>
        <v>0</v>
      </c>
      <c r="J60" s="8">
        <f t="shared" si="7"/>
        <v>0</v>
      </c>
      <c r="K60" s="8">
        <f t="shared" si="6"/>
        <v>0</v>
      </c>
    </row>
    <row r="61" spans="2:11" ht="9.75" outlineLevel="2">
      <c r="B61" s="178" t="str">
        <f>rail14</f>
        <v>Route 14</v>
      </c>
      <c r="C61" s="8">
        <f t="shared" si="7"/>
        <v>0</v>
      </c>
      <c r="D61" s="8">
        <f t="shared" si="7"/>
        <v>0</v>
      </c>
      <c r="E61" s="8">
        <f t="shared" si="7"/>
        <v>0</v>
      </c>
      <c r="F61" s="8">
        <f t="shared" si="7"/>
        <v>0</v>
      </c>
      <c r="G61" s="8">
        <f t="shared" si="7"/>
        <v>0</v>
      </c>
      <c r="H61" s="8">
        <f t="shared" si="7"/>
        <v>0</v>
      </c>
      <c r="I61" s="8">
        <f t="shared" si="7"/>
        <v>0</v>
      </c>
      <c r="J61" s="8">
        <f t="shared" si="7"/>
        <v>0</v>
      </c>
      <c r="K61" s="8">
        <f t="shared" si="6"/>
        <v>0</v>
      </c>
    </row>
    <row r="62" spans="2:11" ht="9.75" outlineLevel="2">
      <c r="B62" s="178" t="str">
        <f>rail15</f>
        <v>Route 15</v>
      </c>
      <c r="C62" s="8">
        <f t="shared" si="7"/>
        <v>0</v>
      </c>
      <c r="D62" s="8">
        <f t="shared" si="7"/>
        <v>0</v>
      </c>
      <c r="E62" s="8">
        <f t="shared" si="7"/>
        <v>0</v>
      </c>
      <c r="F62" s="8">
        <f t="shared" si="7"/>
        <v>0</v>
      </c>
      <c r="G62" s="8">
        <f t="shared" si="7"/>
        <v>0</v>
      </c>
      <c r="H62" s="8">
        <f t="shared" si="7"/>
        <v>0</v>
      </c>
      <c r="I62" s="8">
        <f t="shared" si="7"/>
        <v>0</v>
      </c>
      <c r="J62" s="8">
        <f t="shared" si="7"/>
        <v>0</v>
      </c>
      <c r="K62" s="8">
        <f t="shared" si="6"/>
        <v>0</v>
      </c>
    </row>
    <row r="63" spans="2:11" ht="9.75" outlineLevel="2">
      <c r="B63" s="178" t="str">
        <f>rail16</f>
        <v>Route 16</v>
      </c>
      <c r="C63" s="8">
        <f t="shared" si="7"/>
        <v>0</v>
      </c>
      <c r="D63" s="8">
        <f t="shared" si="7"/>
        <v>0</v>
      </c>
      <c r="E63" s="8">
        <f t="shared" si="7"/>
        <v>0</v>
      </c>
      <c r="F63" s="8">
        <f t="shared" si="7"/>
        <v>0</v>
      </c>
      <c r="G63" s="8">
        <f t="shared" si="7"/>
        <v>0</v>
      </c>
      <c r="H63" s="8">
        <f t="shared" si="7"/>
        <v>0</v>
      </c>
      <c r="I63" s="8">
        <f t="shared" si="7"/>
        <v>0</v>
      </c>
      <c r="J63" s="8">
        <f t="shared" si="7"/>
        <v>0</v>
      </c>
      <c r="K63" s="8">
        <f t="shared" si="6"/>
        <v>0</v>
      </c>
    </row>
    <row r="64" spans="2:11" ht="9.75" outlineLevel="2">
      <c r="B64" s="178" t="str">
        <f>rail17</f>
        <v>Route 17</v>
      </c>
      <c r="C64" s="8">
        <f t="shared" si="7"/>
        <v>0</v>
      </c>
      <c r="D64" s="8">
        <f t="shared" si="7"/>
        <v>0</v>
      </c>
      <c r="E64" s="8">
        <f t="shared" si="7"/>
        <v>0</v>
      </c>
      <c r="F64" s="8">
        <f t="shared" si="7"/>
        <v>0</v>
      </c>
      <c r="G64" s="8">
        <f t="shared" si="7"/>
        <v>0</v>
      </c>
      <c r="H64" s="8">
        <f t="shared" si="7"/>
        <v>0</v>
      </c>
      <c r="I64" s="8">
        <f t="shared" si="7"/>
        <v>0</v>
      </c>
      <c r="J64" s="8">
        <f t="shared" si="7"/>
        <v>0</v>
      </c>
      <c r="K64" s="8">
        <f t="shared" si="6"/>
        <v>0</v>
      </c>
    </row>
    <row r="65" spans="2:11" ht="9.75" outlineLevel="2">
      <c r="B65" s="178" t="str">
        <f>rail18</f>
        <v>Route 18</v>
      </c>
      <c r="C65" s="8">
        <f t="shared" si="7"/>
        <v>0</v>
      </c>
      <c r="D65" s="8">
        <f t="shared" si="7"/>
        <v>0</v>
      </c>
      <c r="E65" s="8">
        <f t="shared" si="7"/>
        <v>0</v>
      </c>
      <c r="F65" s="8">
        <f t="shared" si="7"/>
        <v>0</v>
      </c>
      <c r="G65" s="8">
        <f t="shared" si="7"/>
        <v>0</v>
      </c>
      <c r="H65" s="8">
        <f t="shared" si="7"/>
        <v>0</v>
      </c>
      <c r="I65" s="8">
        <f t="shared" si="7"/>
        <v>0</v>
      </c>
      <c r="J65" s="8">
        <f t="shared" si="7"/>
        <v>0</v>
      </c>
      <c r="K65" s="8">
        <f t="shared" si="6"/>
        <v>0</v>
      </c>
    </row>
    <row r="66" spans="2:11" ht="9.75" outlineLevel="2">
      <c r="B66" s="178" t="str">
        <f>rail19</f>
        <v>Route 19</v>
      </c>
      <c r="C66" s="8">
        <f t="shared" si="7"/>
        <v>0</v>
      </c>
      <c r="D66" s="8">
        <f t="shared" si="7"/>
        <v>0</v>
      </c>
      <c r="E66" s="8">
        <f t="shared" si="7"/>
        <v>0</v>
      </c>
      <c r="F66" s="8">
        <f t="shared" si="7"/>
        <v>0</v>
      </c>
      <c r="G66" s="8">
        <f t="shared" si="7"/>
        <v>0</v>
      </c>
      <c r="H66" s="8">
        <f t="shared" si="7"/>
        <v>0</v>
      </c>
      <c r="I66" s="8">
        <f t="shared" si="7"/>
        <v>0</v>
      </c>
      <c r="J66" s="8">
        <f t="shared" si="7"/>
        <v>0</v>
      </c>
      <c r="K66" s="8">
        <f t="shared" si="6"/>
        <v>0</v>
      </c>
    </row>
    <row r="67" spans="2:11" ht="9.75" outlineLevel="2">
      <c r="B67" s="178" t="str">
        <f>rail20</f>
        <v>Route 20</v>
      </c>
      <c r="C67" s="8">
        <f t="shared" si="7"/>
        <v>0</v>
      </c>
      <c r="D67" s="8">
        <f t="shared" si="7"/>
        <v>0</v>
      </c>
      <c r="E67" s="8">
        <f t="shared" si="7"/>
        <v>0</v>
      </c>
      <c r="F67" s="8">
        <f t="shared" si="7"/>
        <v>0</v>
      </c>
      <c r="G67" s="8">
        <f t="shared" si="7"/>
        <v>0</v>
      </c>
      <c r="H67" s="8">
        <f t="shared" si="7"/>
        <v>0</v>
      </c>
      <c r="I67" s="8">
        <f t="shared" si="7"/>
        <v>0</v>
      </c>
      <c r="J67" s="8">
        <f t="shared" si="7"/>
        <v>0</v>
      </c>
      <c r="K67" s="8">
        <f t="shared" si="6"/>
        <v>0</v>
      </c>
    </row>
    <row r="68" ht="9.75" outlineLevel="2"/>
    <row r="69" spans="3:4" ht="9.75" outlineLevel="2">
      <c r="C69" s="174" t="s">
        <v>592</v>
      </c>
      <c r="D69" s="6" t="s">
        <v>316</v>
      </c>
    </row>
    <row r="70" spans="2:4" ht="9.75" outlineLevel="2">
      <c r="B70" s="178" t="str">
        <f>rail1</f>
        <v>Cloudbreak to Port Dumper</v>
      </c>
      <c r="C70" s="11">
        <f>K48</f>
        <v>40000000</v>
      </c>
      <c r="D70" s="6" t="s">
        <v>84</v>
      </c>
    </row>
    <row r="71" spans="2:4" ht="9.75" outlineLevel="2">
      <c r="B71" s="178" t="str">
        <f>rail2</f>
        <v>Route 2</v>
      </c>
      <c r="C71" s="11">
        <f>K49</f>
        <v>0</v>
      </c>
      <c r="D71" s="6" t="str">
        <f>IF(C71&gt;C70,"Entry",IF(C71&lt;C70,"Exit",""))</f>
        <v>Exit</v>
      </c>
    </row>
    <row r="72" spans="2:4" ht="9.75" outlineLevel="2">
      <c r="B72" s="178" t="str">
        <f>rail3</f>
        <v>Route 3</v>
      </c>
      <c r="C72" s="11">
        <f aca="true" t="shared" si="8" ref="C72:C89">K50</f>
        <v>0</v>
      </c>
      <c r="D72" s="6">
        <f aca="true" t="shared" si="9" ref="D72:D89">IF(C72&gt;C71,"Entry",IF(C72&lt;C71,"Exit",""))</f>
      </c>
    </row>
    <row r="73" spans="2:4" ht="9.75" outlineLevel="2">
      <c r="B73" s="178" t="str">
        <f>rail4</f>
        <v>Route 4</v>
      </c>
      <c r="C73" s="11">
        <f t="shared" si="8"/>
        <v>0</v>
      </c>
      <c r="D73" s="6">
        <f t="shared" si="9"/>
      </c>
    </row>
    <row r="74" spans="2:4" ht="9.75" outlineLevel="2">
      <c r="B74" s="178" t="str">
        <f>rail5</f>
        <v>Route 5</v>
      </c>
      <c r="C74" s="11">
        <f t="shared" si="8"/>
        <v>0</v>
      </c>
      <c r="D74" s="6">
        <f t="shared" si="9"/>
      </c>
    </row>
    <row r="75" spans="2:4" ht="9.75" outlineLevel="2">
      <c r="B75" s="178" t="str">
        <f>rail6</f>
        <v>Route 6</v>
      </c>
      <c r="C75" s="11">
        <f t="shared" si="8"/>
        <v>0</v>
      </c>
      <c r="D75" s="6">
        <f t="shared" si="9"/>
      </c>
    </row>
    <row r="76" spans="2:4" ht="9.75" outlineLevel="2">
      <c r="B76" s="178" t="str">
        <f>rail7</f>
        <v>Route 7</v>
      </c>
      <c r="C76" s="11">
        <f t="shared" si="8"/>
        <v>0</v>
      </c>
      <c r="D76" s="6">
        <f t="shared" si="9"/>
      </c>
    </row>
    <row r="77" spans="2:4" ht="9.75" outlineLevel="2">
      <c r="B77" s="178" t="str">
        <f>rail8</f>
        <v>Route 8</v>
      </c>
      <c r="C77" s="11">
        <f t="shared" si="8"/>
        <v>0</v>
      </c>
      <c r="D77" s="6">
        <f t="shared" si="9"/>
      </c>
    </row>
    <row r="78" spans="2:4" ht="9.75" outlineLevel="2">
      <c r="B78" s="178" t="str">
        <f>rail9</f>
        <v>Route 9</v>
      </c>
      <c r="C78" s="11">
        <f t="shared" si="8"/>
        <v>0</v>
      </c>
      <c r="D78" s="6">
        <f t="shared" si="9"/>
      </c>
    </row>
    <row r="79" spans="2:4" ht="9.75" outlineLevel="2">
      <c r="B79" s="178" t="str">
        <f>rail10</f>
        <v>Route 10</v>
      </c>
      <c r="C79" s="11">
        <f t="shared" si="8"/>
        <v>0</v>
      </c>
      <c r="D79" s="6">
        <f t="shared" si="9"/>
      </c>
    </row>
    <row r="80" spans="2:4" ht="9.75" outlineLevel="2">
      <c r="B80" s="178" t="str">
        <f>rail11</f>
        <v>Route 11</v>
      </c>
      <c r="C80" s="11">
        <f t="shared" si="8"/>
        <v>0</v>
      </c>
      <c r="D80" s="6">
        <f t="shared" si="9"/>
      </c>
    </row>
    <row r="81" spans="2:4" ht="9.75" outlineLevel="2">
      <c r="B81" s="178" t="str">
        <f>rail12</f>
        <v>Route 12</v>
      </c>
      <c r="C81" s="11">
        <f t="shared" si="8"/>
        <v>0</v>
      </c>
      <c r="D81" s="6">
        <f t="shared" si="9"/>
      </c>
    </row>
    <row r="82" spans="2:4" ht="9.75" outlineLevel="2">
      <c r="B82" s="178" t="str">
        <f>rail13</f>
        <v>Route 13</v>
      </c>
      <c r="C82" s="11">
        <f t="shared" si="8"/>
        <v>0</v>
      </c>
      <c r="D82" s="6">
        <f t="shared" si="9"/>
      </c>
    </row>
    <row r="83" spans="2:4" ht="9.75" outlineLevel="2">
      <c r="B83" s="178" t="str">
        <f>rail14</f>
        <v>Route 14</v>
      </c>
      <c r="C83" s="11">
        <f t="shared" si="8"/>
        <v>0</v>
      </c>
      <c r="D83" s="6">
        <f t="shared" si="9"/>
      </c>
    </row>
    <row r="84" spans="2:4" ht="9.75" outlineLevel="2">
      <c r="B84" s="178" t="str">
        <f>rail15</f>
        <v>Route 15</v>
      </c>
      <c r="C84" s="11">
        <f t="shared" si="8"/>
        <v>0</v>
      </c>
      <c r="D84" s="6">
        <f t="shared" si="9"/>
      </c>
    </row>
    <row r="85" spans="2:4" ht="9.75" outlineLevel="2">
      <c r="B85" s="178" t="str">
        <f>rail16</f>
        <v>Route 16</v>
      </c>
      <c r="C85" s="11">
        <f t="shared" si="8"/>
        <v>0</v>
      </c>
      <c r="D85" s="6">
        <f t="shared" si="9"/>
      </c>
    </row>
    <row r="86" spans="2:4" ht="9.75" outlineLevel="2">
      <c r="B86" s="178" t="str">
        <f>rail17</f>
        <v>Route 17</v>
      </c>
      <c r="C86" s="11">
        <f t="shared" si="8"/>
        <v>0</v>
      </c>
      <c r="D86" s="6">
        <f t="shared" si="9"/>
      </c>
    </row>
    <row r="87" spans="2:4" ht="9.75" outlineLevel="2">
      <c r="B87" s="178" t="str">
        <f>rail18</f>
        <v>Route 18</v>
      </c>
      <c r="C87" s="11">
        <f t="shared" si="8"/>
        <v>0</v>
      </c>
      <c r="D87" s="6">
        <f t="shared" si="9"/>
      </c>
    </row>
    <row r="88" spans="2:4" ht="9.75" outlineLevel="2">
      <c r="B88" s="178" t="str">
        <f>rail19</f>
        <v>Route 19</v>
      </c>
      <c r="C88" s="11">
        <f t="shared" si="8"/>
        <v>0</v>
      </c>
      <c r="D88" s="6">
        <f t="shared" si="9"/>
      </c>
    </row>
    <row r="89" spans="2:4" ht="9.75" outlineLevel="2">
      <c r="B89" s="178" t="str">
        <f>rail20</f>
        <v>Route 20</v>
      </c>
      <c r="C89" s="11">
        <f t="shared" si="8"/>
        <v>0</v>
      </c>
      <c r="D89" s="6">
        <f t="shared" si="9"/>
      </c>
    </row>
    <row r="90" spans="2:3" ht="9.75" outlineLevel="1">
      <c r="B90" s="178"/>
      <c r="C90" s="11"/>
    </row>
  </sheetData>
  <sheetProtection sheet="1" objects="1" scenarios="1"/>
  <conditionalFormatting sqref="A1">
    <cfRule type="cellIs" priority="1" dxfId="3" operator="equal" stopIfTrue="1">
      <formula>"All Ok"</formula>
    </cfRule>
    <cfRule type="cellIs" priority="2" dxfId="2" operator="notEqual" stopIfTrue="1">
      <formula>"All Ok"</formula>
    </cfRule>
  </conditionalFormatting>
  <printOptions/>
  <pageMargins left="0.75" right="0.75" top="1" bottom="1" header="0.5" footer="0.5"/>
  <pageSetup horizontalDpi="600" verticalDpi="600" orientation="portrait" paperSize="9" r:id="rId1"/>
  <headerFooter alignWithMargins="0">
    <oddFooter>&amp;L&amp;F&amp;R&amp;P</oddFooter>
  </headerFooter>
</worksheet>
</file>

<file path=xl/worksheets/sheet8.xml><?xml version="1.0" encoding="utf-8"?>
<worksheet xmlns="http://schemas.openxmlformats.org/spreadsheetml/2006/main" xmlns:r="http://schemas.openxmlformats.org/officeDocument/2006/relationships">
  <sheetPr>
    <tabColor indexed="42"/>
  </sheetPr>
  <dimension ref="A2:E123"/>
  <sheetViews>
    <sheetView zoomScale="85" zoomScaleNormal="85" zoomScalePageLayoutView="0" workbookViewId="0" topLeftCell="A1">
      <selection activeCell="C30" sqref="C30"/>
    </sheetView>
  </sheetViews>
  <sheetFormatPr defaultColWidth="9.140625" defaultRowHeight="12.75"/>
  <cols>
    <col min="1" max="1" width="4.28125" style="1" customWidth="1"/>
    <col min="2" max="2" width="5.57421875" style="1" bestFit="1" customWidth="1"/>
    <col min="3" max="3" width="37.57421875" style="1" bestFit="1" customWidth="1"/>
    <col min="4" max="15" width="16.7109375" style="1" customWidth="1"/>
    <col min="16" max="16" width="13.140625" style="1" bestFit="1" customWidth="1"/>
    <col min="17" max="17" width="14.28125" style="1" bestFit="1" customWidth="1"/>
    <col min="18" max="18" width="13.140625" style="1" bestFit="1" customWidth="1"/>
    <col min="19" max="19" width="14.28125" style="1" bestFit="1" customWidth="1"/>
    <col min="20" max="20" width="13.140625" style="1" bestFit="1" customWidth="1"/>
    <col min="21" max="21" width="14.28125" style="1" bestFit="1" customWidth="1"/>
    <col min="22" max="22" width="13.140625" style="1" bestFit="1" customWidth="1"/>
    <col min="23" max="23" width="14.28125" style="1" bestFit="1" customWidth="1"/>
    <col min="24" max="24" width="13.140625" style="1" bestFit="1" customWidth="1"/>
    <col min="25" max="25" width="14.28125" style="1" bestFit="1" customWidth="1"/>
    <col min="26" max="26" width="13.140625" style="1" bestFit="1" customWidth="1"/>
    <col min="27" max="27" width="14.28125" style="1" bestFit="1" customWidth="1"/>
    <col min="28" max="28" width="13.140625" style="1" bestFit="1" customWidth="1"/>
    <col min="29" max="29" width="14.28125" style="1" bestFit="1" customWidth="1"/>
    <col min="30" max="16384" width="9.140625" style="1" customWidth="1"/>
  </cols>
  <sheetData>
    <row r="2" spans="3:4" ht="12">
      <c r="C2" s="14" t="str">
        <f>modelname</f>
        <v>3rd Party Access Model</v>
      </c>
      <c r="D2" s="192" t="str">
        <f>HYPERLINK(Contents!$A$1,"Back to Contents Page")</f>
        <v>Back to Contents Page</v>
      </c>
    </row>
    <row r="3" spans="2:3" ht="11.25">
      <c r="B3" s="24"/>
      <c r="C3" s="190" t="s">
        <v>398</v>
      </c>
    </row>
    <row r="4" ht="9.75">
      <c r="C4" s="171" t="str">
        <f>Contents!D45</f>
        <v>This sheet shows a summary of some of the key outtakes from the agreed costing principles</v>
      </c>
    </row>
    <row r="6" ht="9.75">
      <c r="C6" s="2" t="s">
        <v>124</v>
      </c>
    </row>
    <row r="7" spans="3:4" ht="9.75">
      <c r="C7" s="199" t="s">
        <v>399</v>
      </c>
      <c r="D7" s="198" t="str">
        <f>HYPERLINK(CONCATENATE(workbookname,ADDRESS(ROW('Rail Reg Reqs'!$B$26),COLUMN('Rail Reg Reqs'!$B$26),4,1)),"Click Here")</f>
        <v>Click Here</v>
      </c>
    </row>
    <row r="8" spans="3:4" ht="9.75">
      <c r="C8" s="199" t="s">
        <v>401</v>
      </c>
      <c r="D8" s="198" t="str">
        <f>HYPERLINK(CONCATENATE(workbookname,ADDRESS(ROW('Rail Reg Reqs'!$B$29),COLUMN('Rail Reg Reqs'!$B$29),4,1)),"Click Here")</f>
        <v>Click Here</v>
      </c>
    </row>
    <row r="9" spans="3:4" ht="9.75">
      <c r="C9" s="199" t="s">
        <v>405</v>
      </c>
      <c r="D9" s="198" t="str">
        <f>HYPERLINK(CONCATENATE(workbookname,ADDRESS(ROW('Rail Reg Reqs'!$B$37),COLUMN('Rail Reg Reqs'!$B$37),4,1)),"Click Here")</f>
        <v>Click Here</v>
      </c>
    </row>
    <row r="10" spans="3:4" ht="9.75">
      <c r="C10" s="199" t="s">
        <v>407</v>
      </c>
      <c r="D10" s="198" t="str">
        <f>HYPERLINK(CONCATENATE(workbookname,ADDRESS(ROW('Rail Reg Reqs'!$B$45),COLUMN('Rail Reg Reqs'!$B$45),4,1)),"Click Here")</f>
        <v>Click Here</v>
      </c>
    </row>
    <row r="11" spans="3:4" ht="9.75">
      <c r="C11" s="199" t="s">
        <v>411</v>
      </c>
      <c r="D11" s="198" t="str">
        <f>HYPERLINK(CONCATENATE(workbookname,ADDRESS(ROW('Rail Reg Reqs'!$B$55),COLUMN('Rail Reg Reqs'!$B$55),4,1)),"Click Here")</f>
        <v>Click Here</v>
      </c>
    </row>
    <row r="12" spans="3:4" ht="9.75">
      <c r="C12" s="199" t="s">
        <v>414</v>
      </c>
      <c r="D12" s="198" t="str">
        <f>HYPERLINK(CONCATENATE(workbookname,ADDRESS(ROW('Rail Reg Reqs'!$B$59),COLUMN('Rail Reg Reqs'!$B$59),4,1)),"Click Here")</f>
        <v>Click Here</v>
      </c>
    </row>
    <row r="13" spans="3:4" ht="9.75">
      <c r="C13" s="199" t="s">
        <v>416</v>
      </c>
      <c r="D13" s="198" t="str">
        <f>HYPERLINK(CONCATENATE(workbookname,ADDRESS(ROW('Rail Reg Reqs'!$B$59),COLUMN('Rail Reg Reqs'!$B$59),4,1)),"Click Here")</f>
        <v>Click Here</v>
      </c>
    </row>
    <row r="14" spans="3:4" ht="9.75">
      <c r="C14" s="199" t="s">
        <v>662</v>
      </c>
      <c r="D14" s="198" t="str">
        <f>HYPERLINK(CONCATENATE(workbookname,ADDRESS(ROW('Rail Reg Reqs'!$B$66),COLUMN('Rail Reg Reqs'!$B$66),4,1)),"Click Here")</f>
        <v>Click Here</v>
      </c>
    </row>
    <row r="15" spans="3:4" ht="9.75">
      <c r="C15" s="199" t="s">
        <v>473</v>
      </c>
      <c r="D15" s="198" t="str">
        <f>HYPERLINK(CONCATENATE(workbookname,ADDRESS(ROW('Rail Reg Reqs'!$B$71),COLUMN('Rail Reg Reqs'!$B$71),4,1)),"Click Here")</f>
        <v>Click Here</v>
      </c>
    </row>
    <row r="16" spans="3:4" ht="9.75">
      <c r="C16" s="199" t="s">
        <v>474</v>
      </c>
      <c r="D16" s="198" t="str">
        <f>HYPERLINK(CONCATENATE(workbookname,ADDRESS(ROW('Rail Reg Reqs'!$B$74),COLUMN('Rail Reg Reqs'!$B$74),4,1)),"Click Here")</f>
        <v>Click Here</v>
      </c>
    </row>
    <row r="17" spans="3:4" ht="9.75">
      <c r="C17" s="199" t="s">
        <v>475</v>
      </c>
      <c r="D17" s="198" t="str">
        <f>HYPERLINK(CONCATENATE(workbookname,ADDRESS(ROW('Rail Reg Reqs'!$B$84),COLUMN('Rail Reg Reqs'!$B$84),4,1)),"Click Here")</f>
        <v>Click Here</v>
      </c>
    </row>
    <row r="18" spans="3:4" ht="9.75">
      <c r="C18" s="199" t="s">
        <v>477</v>
      </c>
      <c r="D18" s="198" t="str">
        <f>HYPERLINK(CONCATENATE(workbookname,ADDRESS(ROW('Rail Reg Reqs'!$B$88),COLUMN('Rail Reg Reqs'!$B$88),4,1)),"Click Here")</f>
        <v>Click Here</v>
      </c>
    </row>
    <row r="19" spans="3:4" ht="9.75">
      <c r="C19" s="199" t="s">
        <v>480</v>
      </c>
      <c r="D19" s="198" t="str">
        <f>HYPERLINK(CONCATENATE(workbookname,ADDRESS(ROW('Rail Reg Reqs'!$B$93),COLUMN('Rail Reg Reqs'!$B$93),4,1)),"Click Here")</f>
        <v>Click Here</v>
      </c>
    </row>
    <row r="20" spans="3:4" ht="9.75">
      <c r="C20" s="199" t="s">
        <v>481</v>
      </c>
      <c r="D20" s="198" t="str">
        <f>HYPERLINK(CONCATENATE(workbookname,ADDRESS(ROW('Rail Reg Reqs'!$B$94),COLUMN('Rail Reg Reqs'!$B$94),4,1)),"Click Here")</f>
        <v>Click Here</v>
      </c>
    </row>
    <row r="21" spans="3:4" ht="9.75">
      <c r="C21" s="199" t="s">
        <v>482</v>
      </c>
      <c r="D21" s="198" t="str">
        <f>HYPERLINK(CONCATENATE(workbookname,ADDRESS(ROW('Rail Reg Reqs'!$B$98),COLUMN('Rail Reg Reqs'!$B$98),4,1)),"Click Here")</f>
        <v>Click Here</v>
      </c>
    </row>
    <row r="22" spans="3:4" ht="9.75">
      <c r="C22" s="199" t="s">
        <v>483</v>
      </c>
      <c r="D22" s="198" t="str">
        <f>HYPERLINK(CONCATENATE(workbookname,ADDRESS(ROW('Rail Reg Reqs'!$B$102),COLUMN('Rail Reg Reqs'!$B$102),4,1)),"Click Here")</f>
        <v>Click Here</v>
      </c>
    </row>
    <row r="23" spans="3:4" ht="9.75">
      <c r="C23" s="199" t="s">
        <v>484</v>
      </c>
      <c r="D23" s="198" t="str">
        <f>HYPERLINK(CONCATENATE(workbookname,ADDRESS(ROW('Rail Reg Reqs'!$B$103),COLUMN('Rail Reg Reqs'!$B$103),4,1)),"Click Here")</f>
        <v>Click Here</v>
      </c>
    </row>
    <row r="24" spans="3:4" ht="9.75">
      <c r="C24" s="199" t="s">
        <v>486</v>
      </c>
      <c r="D24" s="198" t="str">
        <f>HYPERLINK(CONCATENATE(workbookname,ADDRESS(ROW('Rail Reg Reqs'!$B$109),COLUMN('Rail Reg Reqs'!$B$109),4,1)),"Click Here")</f>
        <v>Click Here</v>
      </c>
    </row>
    <row r="26" spans="1:5" ht="12">
      <c r="A26" s="198" t="str">
        <f>HYPERLINK(CONCATENATE(workbookname,"$A$1"),"Top")</f>
        <v>Top</v>
      </c>
      <c r="B26" s="9">
        <v>1</v>
      </c>
      <c r="C26" s="2" t="str">
        <f>Contents!B46</f>
        <v>Introduction</v>
      </c>
      <c r="D26" s="203"/>
      <c r="E26" s="203"/>
    </row>
    <row r="27" spans="2:5" ht="12">
      <c r="B27" s="6"/>
      <c r="C27" s="1" t="s">
        <v>400</v>
      </c>
      <c r="D27" s="203"/>
      <c r="E27" s="203"/>
    </row>
    <row r="28" spans="2:5" ht="12">
      <c r="B28" s="6"/>
      <c r="D28" s="203"/>
      <c r="E28" s="203"/>
    </row>
    <row r="29" spans="1:5" ht="12">
      <c r="A29" s="198" t="str">
        <f>HYPERLINK(CONCATENATE(workbookname,"$A$1"),"Top")</f>
        <v>Top</v>
      </c>
      <c r="B29" s="9">
        <v>2</v>
      </c>
      <c r="C29" s="2" t="str">
        <f>Contents!B47</f>
        <v>Timing and Route Sections</v>
      </c>
      <c r="D29" s="204"/>
      <c r="E29" s="204"/>
    </row>
    <row r="30" spans="2:5" ht="12">
      <c r="B30" s="6"/>
      <c r="C30" s="1" t="s">
        <v>222</v>
      </c>
      <c r="D30" s="203"/>
      <c r="E30" s="203"/>
    </row>
    <row r="31" spans="2:5" ht="12">
      <c r="B31" s="6"/>
      <c r="D31" s="203"/>
      <c r="E31" s="203"/>
    </row>
    <row r="32" spans="2:5" ht="12">
      <c r="B32" s="6"/>
      <c r="C32" s="173" t="s">
        <v>402</v>
      </c>
      <c r="D32" s="203"/>
      <c r="E32" s="203"/>
    </row>
    <row r="33" spans="2:5" ht="12">
      <c r="B33" s="6"/>
      <c r="C33" s="173" t="s">
        <v>403</v>
      </c>
      <c r="D33" s="203"/>
      <c r="E33" s="203"/>
    </row>
    <row r="34" spans="2:5" ht="12">
      <c r="B34" s="6"/>
      <c r="C34" s="173" t="s">
        <v>404</v>
      </c>
      <c r="D34" s="203"/>
      <c r="E34" s="203"/>
    </row>
    <row r="35" spans="2:5" ht="12">
      <c r="B35" s="6"/>
      <c r="D35" s="203"/>
      <c r="E35" s="203"/>
    </row>
    <row r="36" spans="2:5" ht="12">
      <c r="B36" s="6"/>
      <c r="D36" s="203"/>
      <c r="E36" s="203"/>
    </row>
    <row r="37" spans="1:5" ht="12">
      <c r="A37" s="198" t="str">
        <f>HYPERLINK(CONCATENATE(workbookname,"$A$1"),"Top")</f>
        <v>Top</v>
      </c>
      <c r="B37" s="9">
        <v>3</v>
      </c>
      <c r="C37" s="2" t="str">
        <f>Contents!B49</f>
        <v>Determination of Capital Costs</v>
      </c>
      <c r="D37" s="203"/>
      <c r="E37" s="203"/>
    </row>
    <row r="38" spans="2:5" ht="12">
      <c r="B38" s="6"/>
      <c r="C38" s="1" t="s">
        <v>712</v>
      </c>
      <c r="D38" s="203"/>
      <c r="E38" s="203"/>
    </row>
    <row r="39" spans="2:5" ht="12">
      <c r="B39" s="6"/>
      <c r="D39" s="203"/>
      <c r="E39" s="203"/>
    </row>
    <row r="40" spans="2:5" ht="12">
      <c r="B40" s="6"/>
      <c r="C40" s="1" t="s">
        <v>0</v>
      </c>
      <c r="D40" s="203"/>
      <c r="E40" s="203"/>
    </row>
    <row r="41" spans="2:5" ht="12">
      <c r="B41" s="6"/>
      <c r="D41" s="203"/>
      <c r="E41" s="203"/>
    </row>
    <row r="42" spans="2:5" ht="12">
      <c r="B42" s="6"/>
      <c r="C42" s="1" t="s">
        <v>180</v>
      </c>
      <c r="D42" s="203"/>
      <c r="E42" s="203"/>
    </row>
    <row r="43" spans="2:5" ht="12">
      <c r="B43" s="6"/>
      <c r="C43" s="1" t="s">
        <v>406</v>
      </c>
      <c r="D43" s="203"/>
      <c r="E43" s="203"/>
    </row>
    <row r="44" spans="2:5" ht="12">
      <c r="B44" s="6"/>
      <c r="D44" s="203"/>
      <c r="E44" s="203"/>
    </row>
    <row r="45" spans="1:5" ht="12">
      <c r="A45" s="198" t="str">
        <f>HYPERLINK(CONCATENATE(workbookname,"$A$1"),"Top")</f>
        <v>Top</v>
      </c>
      <c r="B45" s="9">
        <v>3.1</v>
      </c>
      <c r="C45" s="2" t="str">
        <f>Contents!B50</f>
        <v>Infrastructure included</v>
      </c>
      <c r="D45" s="203"/>
      <c r="E45" s="203"/>
    </row>
    <row r="46" spans="2:5" ht="12">
      <c r="B46" s="6"/>
      <c r="C46" s="1" t="s">
        <v>181</v>
      </c>
      <c r="D46" s="203"/>
      <c r="E46" s="203"/>
    </row>
    <row r="47" spans="2:5" ht="12">
      <c r="B47" s="6"/>
      <c r="C47" s="1" t="s">
        <v>408</v>
      </c>
      <c r="D47" s="203"/>
      <c r="E47" s="203"/>
    </row>
    <row r="48" spans="2:5" ht="12">
      <c r="B48" s="6"/>
      <c r="C48" s="1" t="s">
        <v>409</v>
      </c>
      <c r="D48" s="203"/>
      <c r="E48" s="203"/>
    </row>
    <row r="49" spans="2:5" ht="12">
      <c r="B49" s="6"/>
      <c r="C49" s="1" t="s">
        <v>1</v>
      </c>
      <c r="D49" s="203"/>
      <c r="E49" s="203"/>
    </row>
    <row r="50" spans="2:5" ht="12">
      <c r="B50" s="6"/>
      <c r="D50" s="203"/>
      <c r="E50" s="203"/>
    </row>
    <row r="51" spans="1:5" ht="12">
      <c r="A51" s="198" t="str">
        <f>HYPERLINK(CONCATENATE(workbookname,"$A$1"),"Top")</f>
        <v>Top</v>
      </c>
      <c r="B51" s="9" t="s">
        <v>410</v>
      </c>
      <c r="C51" s="2" t="str">
        <f>Contents!B51</f>
        <v>Gross Replacement Value</v>
      </c>
      <c r="D51" s="203"/>
      <c r="E51" s="203"/>
    </row>
    <row r="52" spans="1:5" ht="12">
      <c r="A52" s="198"/>
      <c r="B52" s="9"/>
      <c r="C52" s="1" t="s">
        <v>2</v>
      </c>
      <c r="D52" s="203"/>
      <c r="E52" s="203"/>
    </row>
    <row r="53" spans="2:5" ht="12">
      <c r="B53" s="6"/>
      <c r="C53" s="1" t="s">
        <v>412</v>
      </c>
      <c r="D53" s="203"/>
      <c r="E53" s="203"/>
    </row>
    <row r="54" spans="2:5" ht="12">
      <c r="B54" s="6"/>
      <c r="D54" s="203"/>
      <c r="E54" s="203"/>
    </row>
    <row r="55" spans="1:5" ht="12">
      <c r="A55" s="198" t="str">
        <f>HYPERLINK(CONCATENATE(workbookname,"$A$1"),"Top")</f>
        <v>Top</v>
      </c>
      <c r="B55" s="9" t="s">
        <v>413</v>
      </c>
      <c r="C55" s="2" t="str">
        <f>Contents!B52</f>
        <v>Economic life</v>
      </c>
      <c r="D55" s="203"/>
      <c r="E55" s="203"/>
    </row>
    <row r="56" spans="2:5" ht="12">
      <c r="B56" s="6"/>
      <c r="C56" s="1" t="s">
        <v>3</v>
      </c>
      <c r="D56" s="203"/>
      <c r="E56" s="203"/>
    </row>
    <row r="57" spans="2:5" ht="12">
      <c r="B57" s="6"/>
      <c r="C57" s="1" t="s">
        <v>4</v>
      </c>
      <c r="D57" s="203"/>
      <c r="E57" s="203"/>
    </row>
    <row r="58" spans="2:5" ht="12">
      <c r="B58" s="6"/>
      <c r="D58" s="203"/>
      <c r="E58" s="203"/>
    </row>
    <row r="59" spans="1:5" ht="12">
      <c r="A59" s="198" t="str">
        <f>HYPERLINK(CONCATENATE(workbookname,"$A$1"),"Top")</f>
        <v>Top</v>
      </c>
      <c r="B59" s="9" t="s">
        <v>415</v>
      </c>
      <c r="C59" s="2" t="str">
        <f>Contents!B53</f>
        <v>Rate of return</v>
      </c>
      <c r="D59" s="203"/>
      <c r="E59" s="203"/>
    </row>
    <row r="60" spans="2:5" ht="12">
      <c r="B60" s="6"/>
      <c r="C60" s="1" t="s">
        <v>417</v>
      </c>
      <c r="D60" s="203"/>
      <c r="E60" s="203"/>
    </row>
    <row r="61" spans="2:5" ht="12">
      <c r="B61" s="6"/>
      <c r="C61" s="1" t="s">
        <v>418</v>
      </c>
      <c r="D61" s="203"/>
      <c r="E61" s="203"/>
    </row>
    <row r="62" spans="2:5" ht="12">
      <c r="B62" s="6"/>
      <c r="C62" s="1" t="s">
        <v>182</v>
      </c>
      <c r="D62" s="203"/>
      <c r="E62" s="203"/>
    </row>
    <row r="63" spans="2:5" ht="12">
      <c r="B63" s="6"/>
      <c r="C63" s="1" t="s">
        <v>183</v>
      </c>
      <c r="D63" s="203"/>
      <c r="E63" s="203"/>
    </row>
    <row r="64" spans="2:5" ht="12">
      <c r="B64" s="6"/>
      <c r="C64" s="1" t="s">
        <v>5</v>
      </c>
      <c r="D64" s="203"/>
      <c r="E64" s="203"/>
    </row>
    <row r="65" spans="2:5" ht="12">
      <c r="B65" s="6"/>
      <c r="D65" s="203"/>
      <c r="E65" s="203"/>
    </row>
    <row r="66" spans="1:5" ht="12">
      <c r="A66" s="198" t="str">
        <f>HYPERLINK(CONCATENATE(workbookname,"$A$1"),"Top")</f>
        <v>Top</v>
      </c>
      <c r="B66" s="9" t="s">
        <v>471</v>
      </c>
      <c r="C66" s="2" t="str">
        <f>Contents!B54</f>
        <v>Annuity</v>
      </c>
      <c r="D66" s="203"/>
      <c r="E66" s="203"/>
    </row>
    <row r="67" spans="2:5" ht="12">
      <c r="B67" s="6"/>
      <c r="C67" s="1" t="s">
        <v>472</v>
      </c>
      <c r="D67" s="203"/>
      <c r="E67" s="203"/>
    </row>
    <row r="68" spans="2:5" ht="12">
      <c r="B68" s="6"/>
      <c r="C68" s="1" t="s">
        <v>184</v>
      </c>
      <c r="D68" s="203"/>
      <c r="E68" s="203"/>
    </row>
    <row r="69" spans="2:5" ht="12">
      <c r="B69" s="6"/>
      <c r="D69" s="203"/>
      <c r="E69" s="203"/>
    </row>
    <row r="70" spans="2:5" ht="12">
      <c r="B70" s="6"/>
      <c r="D70" s="203"/>
      <c r="E70" s="203"/>
    </row>
    <row r="71" spans="1:5" ht="12">
      <c r="A71" s="198" t="str">
        <f>HYPERLINK(CONCATENATE(workbookname,"$A$1"),"Top")</f>
        <v>Top</v>
      </c>
      <c r="B71" s="9">
        <v>4</v>
      </c>
      <c r="C71" s="2" t="str">
        <f>Contents!B56</f>
        <v>Determination of operating costs</v>
      </c>
      <c r="D71" s="202"/>
      <c r="E71" s="204"/>
    </row>
    <row r="72" spans="1:5" ht="12">
      <c r="A72" s="198"/>
      <c r="B72" s="9"/>
      <c r="C72" s="1" t="s">
        <v>6</v>
      </c>
      <c r="D72" s="202"/>
      <c r="E72" s="204"/>
    </row>
    <row r="73" spans="1:5" ht="12">
      <c r="A73" s="198"/>
      <c r="B73" s="9"/>
      <c r="D73" s="202"/>
      <c r="E73" s="204"/>
    </row>
    <row r="74" spans="1:5" ht="12">
      <c r="A74" s="198" t="str">
        <f>HYPERLINK(CONCATENATE(workbookname,"$A$1"),"Top")</f>
        <v>Top</v>
      </c>
      <c r="B74" s="9">
        <v>4.1</v>
      </c>
      <c r="C74" s="2" t="str">
        <f>Contents!B57</f>
        <v>Definition of operating costs</v>
      </c>
      <c r="D74" s="203"/>
      <c r="E74" s="204"/>
    </row>
    <row r="75" spans="2:5" ht="12">
      <c r="B75" s="6"/>
      <c r="C75" s="1" t="s">
        <v>7</v>
      </c>
      <c r="D75" s="203"/>
      <c r="E75" s="203"/>
    </row>
    <row r="76" spans="2:5" ht="12">
      <c r="B76" s="6"/>
      <c r="C76" s="1" t="s">
        <v>8</v>
      </c>
      <c r="D76" s="203"/>
      <c r="E76" s="203"/>
    </row>
    <row r="77" spans="2:5" ht="12">
      <c r="B77" s="6"/>
      <c r="C77" s="22" t="s">
        <v>14</v>
      </c>
      <c r="D77" s="203"/>
      <c r="E77" s="203"/>
    </row>
    <row r="78" spans="2:5" ht="12">
      <c r="B78" s="6"/>
      <c r="C78" s="22" t="s">
        <v>13</v>
      </c>
      <c r="D78" s="203"/>
      <c r="E78" s="203"/>
    </row>
    <row r="79" spans="2:5" ht="12">
      <c r="B79" s="6"/>
      <c r="C79" s="22" t="s">
        <v>12</v>
      </c>
      <c r="D79" s="203"/>
      <c r="E79" s="203"/>
    </row>
    <row r="80" spans="2:5" ht="12">
      <c r="B80" s="6"/>
      <c r="C80" s="22" t="s">
        <v>11</v>
      </c>
      <c r="D80" s="203"/>
      <c r="E80" s="203"/>
    </row>
    <row r="81" spans="2:5" ht="12">
      <c r="B81" s="6"/>
      <c r="C81" s="22" t="s">
        <v>10</v>
      </c>
      <c r="D81" s="203"/>
      <c r="E81" s="203"/>
    </row>
    <row r="82" spans="2:5" ht="12">
      <c r="B82" s="6"/>
      <c r="C82" s="22" t="s">
        <v>9</v>
      </c>
      <c r="D82" s="203"/>
      <c r="E82" s="203"/>
    </row>
    <row r="83" spans="2:5" ht="12">
      <c r="B83" s="6"/>
      <c r="D83" s="203"/>
      <c r="E83" s="203"/>
    </row>
    <row r="84" spans="1:5" ht="12">
      <c r="A84" s="198" t="str">
        <f>HYPERLINK(CONCATENATE(workbookname,"$A$1"),"Top")</f>
        <v>Top</v>
      </c>
      <c r="B84" s="9">
        <v>4.2</v>
      </c>
      <c r="C84" s="2" t="str">
        <f>Contents!B58</f>
        <v>Efficient cost test</v>
      </c>
      <c r="D84" s="203"/>
      <c r="E84" s="204"/>
    </row>
    <row r="85" spans="2:5" ht="12">
      <c r="B85" s="6"/>
      <c r="C85" s="1" t="s">
        <v>476</v>
      </c>
      <c r="D85" s="203"/>
      <c r="E85" s="203"/>
    </row>
    <row r="86" spans="2:5" ht="12">
      <c r="B86" s="6"/>
      <c r="C86" s="1" t="s">
        <v>15</v>
      </c>
      <c r="D86" s="203"/>
      <c r="E86" s="203"/>
    </row>
    <row r="87" spans="2:5" ht="12">
      <c r="B87" s="6"/>
      <c r="D87" s="203"/>
      <c r="E87" s="203"/>
    </row>
    <row r="88" spans="1:5" ht="12">
      <c r="A88" s="198" t="str">
        <f>HYPERLINK(CONCATENATE(workbookname,"$A$1"),"Top")</f>
        <v>Top</v>
      </c>
      <c r="B88" s="9">
        <v>4.3</v>
      </c>
      <c r="C88" s="2" t="str">
        <f>Contents!B59</f>
        <v>Allocation of operating costs</v>
      </c>
      <c r="D88" s="203"/>
      <c r="E88" s="204"/>
    </row>
    <row r="89" spans="2:5" ht="12">
      <c r="B89" s="6"/>
      <c r="C89" s="1" t="s">
        <v>478</v>
      </c>
      <c r="D89" s="203"/>
      <c r="E89" s="203"/>
    </row>
    <row r="90" spans="2:5" ht="12">
      <c r="B90" s="6"/>
      <c r="C90" s="1" t="s">
        <v>479</v>
      </c>
      <c r="D90" s="203"/>
      <c r="E90" s="203"/>
    </row>
    <row r="91" spans="2:5" ht="12">
      <c r="B91" s="6"/>
      <c r="C91" s="1" t="s">
        <v>423</v>
      </c>
      <c r="D91" s="203"/>
      <c r="E91" s="203"/>
    </row>
    <row r="92" spans="2:5" ht="12">
      <c r="B92" s="6"/>
      <c r="D92" s="203"/>
      <c r="E92" s="203"/>
    </row>
    <row r="93" spans="1:5" ht="12">
      <c r="A93" s="198" t="str">
        <f>HYPERLINK(CONCATENATE(workbookname,"$A$1"),"Top")</f>
        <v>Top</v>
      </c>
      <c r="B93" s="9">
        <v>5</v>
      </c>
      <c r="C93" s="2" t="str">
        <f>Contents!B61</f>
        <v>Overhead costs</v>
      </c>
      <c r="D93" s="202"/>
      <c r="E93" s="203"/>
    </row>
    <row r="94" spans="1:5" ht="12">
      <c r="A94" s="198" t="str">
        <f>HYPERLINK(CONCATENATE(workbookname,"$A$1"),"Top")</f>
        <v>Top</v>
      </c>
      <c r="B94" s="9">
        <v>5.1</v>
      </c>
      <c r="C94" s="2" t="str">
        <f>Contents!B62</f>
        <v>Definition of Overhead Costs</v>
      </c>
      <c r="D94" s="203"/>
      <c r="E94" s="203"/>
    </row>
    <row r="95" spans="2:5" ht="12">
      <c r="B95" s="9"/>
      <c r="C95" s="1" t="s">
        <v>424</v>
      </c>
      <c r="D95" s="203"/>
      <c r="E95" s="203"/>
    </row>
    <row r="96" spans="2:5" ht="12">
      <c r="B96" s="9"/>
      <c r="C96" s="1" t="s">
        <v>425</v>
      </c>
      <c r="D96" s="203"/>
      <c r="E96" s="203"/>
    </row>
    <row r="97" spans="2:5" ht="12">
      <c r="B97" s="9"/>
      <c r="D97" s="203"/>
      <c r="E97" s="203"/>
    </row>
    <row r="98" spans="1:5" ht="12">
      <c r="A98" s="198" t="str">
        <f>HYPERLINK(CONCATENATE(workbookname,"$A$1"),"Top")</f>
        <v>Top</v>
      </c>
      <c r="B98" s="9">
        <v>5.2</v>
      </c>
      <c r="C98" s="2" t="str">
        <f>Contents!B63</f>
        <v>Allocation of overhead costs</v>
      </c>
      <c r="D98" s="203"/>
      <c r="E98" s="203"/>
    </row>
    <row r="99" spans="2:5" ht="12">
      <c r="B99" s="6"/>
      <c r="C99" s="1" t="s">
        <v>478</v>
      </c>
      <c r="D99" s="203"/>
      <c r="E99" s="203"/>
    </row>
    <row r="100" spans="2:5" ht="12">
      <c r="B100" s="6"/>
      <c r="C100" s="1" t="s">
        <v>479</v>
      </c>
      <c r="D100" s="203"/>
      <c r="E100" s="203"/>
    </row>
    <row r="101" spans="2:5" ht="12">
      <c r="B101" s="6"/>
      <c r="D101" s="203"/>
      <c r="E101" s="203"/>
    </row>
    <row r="102" spans="1:5" ht="12">
      <c r="A102" s="198" t="str">
        <f>HYPERLINK(CONCATENATE(workbookname,"$A$1"),"Top")</f>
        <v>Top</v>
      </c>
      <c r="B102" s="9">
        <v>6</v>
      </c>
      <c r="C102" s="2" t="str">
        <f>Contents!B65</f>
        <v>Other Matters</v>
      </c>
      <c r="D102" s="203"/>
      <c r="E102" s="203"/>
    </row>
    <row r="103" spans="1:5" ht="12">
      <c r="A103" s="198" t="str">
        <f>HYPERLINK(CONCATENATE(workbookname,"$A$1"),"Top")</f>
        <v>Top</v>
      </c>
      <c r="B103" s="9">
        <v>6.1</v>
      </c>
      <c r="C103" s="2" t="str">
        <f>Contents!B66</f>
        <v>Indexation of floor and ceiling</v>
      </c>
      <c r="D103" s="203"/>
      <c r="E103" s="203"/>
    </row>
    <row r="104" spans="2:5" ht="12">
      <c r="B104" s="6"/>
      <c r="C104" s="1" t="s">
        <v>485</v>
      </c>
      <c r="D104" s="203"/>
      <c r="E104" s="203"/>
    </row>
    <row r="105" spans="2:5" ht="12">
      <c r="B105" s="6"/>
      <c r="C105" s="1" t="s">
        <v>428</v>
      </c>
      <c r="D105" s="203"/>
      <c r="E105" s="203"/>
    </row>
    <row r="106" spans="2:5" ht="12">
      <c r="B106" s="6"/>
      <c r="C106" s="1" t="s">
        <v>426</v>
      </c>
      <c r="D106" s="203"/>
      <c r="E106" s="203"/>
    </row>
    <row r="107" spans="2:5" ht="12">
      <c r="B107" s="6"/>
      <c r="C107" s="1" t="s">
        <v>427</v>
      </c>
      <c r="D107" s="203"/>
      <c r="E107" s="203"/>
    </row>
    <row r="108" spans="2:5" ht="12">
      <c r="B108" s="6"/>
      <c r="D108" s="203"/>
      <c r="E108" s="203"/>
    </row>
    <row r="109" spans="1:5" ht="12">
      <c r="A109" s="198" t="str">
        <f>HYPERLINK(CONCATENATE(workbookname,"$A$1"),"Top")</f>
        <v>Top</v>
      </c>
      <c r="B109" s="9">
        <v>6.2</v>
      </c>
      <c r="C109" s="2" t="str">
        <f>Contents!B67</f>
        <v>Calculation of floor and ceiling</v>
      </c>
      <c r="D109" s="203"/>
      <c r="E109" s="203"/>
    </row>
    <row r="110" spans="3:5" ht="12">
      <c r="C110" s="1" t="s">
        <v>430</v>
      </c>
      <c r="D110" s="203"/>
      <c r="E110" s="203"/>
    </row>
    <row r="111" spans="4:5" ht="12">
      <c r="D111" s="203"/>
      <c r="E111" s="203"/>
    </row>
    <row r="112" spans="3:5" ht="12">
      <c r="C112" s="171" t="s">
        <v>302</v>
      </c>
      <c r="D112" s="203"/>
      <c r="E112" s="203"/>
    </row>
    <row r="113" spans="3:5" ht="12">
      <c r="C113" s="1" t="s">
        <v>487</v>
      </c>
      <c r="D113" s="203"/>
      <c r="E113" s="203"/>
    </row>
    <row r="114" spans="3:5" ht="12">
      <c r="C114" s="1" t="s">
        <v>488</v>
      </c>
      <c r="D114" s="203"/>
      <c r="E114" s="203"/>
    </row>
    <row r="115" spans="3:5" ht="12">
      <c r="C115" s="1" t="s">
        <v>429</v>
      </c>
      <c r="D115" s="203"/>
      <c r="E115" s="203"/>
    </row>
    <row r="116" spans="4:5" ht="12">
      <c r="D116" s="203"/>
      <c r="E116" s="203"/>
    </row>
    <row r="117" spans="3:5" ht="12">
      <c r="C117" s="171" t="s">
        <v>301</v>
      </c>
      <c r="D117" s="203"/>
      <c r="E117" s="203"/>
    </row>
    <row r="118" spans="3:5" ht="12">
      <c r="C118" s="1" t="s">
        <v>489</v>
      </c>
      <c r="D118" s="203"/>
      <c r="E118" s="203"/>
    </row>
    <row r="119" spans="3:5" ht="12">
      <c r="C119" s="1" t="s">
        <v>490</v>
      </c>
      <c r="D119" s="203"/>
      <c r="E119" s="203"/>
    </row>
    <row r="120" spans="3:5" ht="12">
      <c r="C120" s="1" t="s">
        <v>491</v>
      </c>
      <c r="D120" s="203"/>
      <c r="E120" s="203"/>
    </row>
    <row r="121" spans="3:5" ht="12">
      <c r="C121" s="1" t="s">
        <v>185</v>
      </c>
      <c r="D121" s="203"/>
      <c r="E121" s="203"/>
    </row>
    <row r="122" ht="9.75">
      <c r="C122" s="1" t="s">
        <v>431</v>
      </c>
    </row>
    <row r="123" ht="9.75">
      <c r="C123" s="1" t="s">
        <v>432</v>
      </c>
    </row>
  </sheetData>
  <sheetProtection sheet="1"/>
  <printOptions/>
  <pageMargins left="0.75" right="0.75" top="1" bottom="1" header="0.5" footer="0.5"/>
  <pageSetup horizontalDpi="600" verticalDpi="600" orientation="portrait" paperSize="9" r:id="rId1"/>
  <headerFooter alignWithMargins="0">
    <oddFooter>&amp;L&amp;F&amp;R&amp;P</oddFooter>
  </headerFooter>
</worksheet>
</file>

<file path=xl/worksheets/sheet9.xml><?xml version="1.0" encoding="utf-8"?>
<worksheet xmlns="http://schemas.openxmlformats.org/spreadsheetml/2006/main" xmlns:r="http://schemas.openxmlformats.org/officeDocument/2006/relationships">
  <sheetPr>
    <tabColor indexed="42"/>
    <pageSetUpPr fitToPage="1"/>
  </sheetPr>
  <dimension ref="A2:AB77"/>
  <sheetViews>
    <sheetView zoomScale="85" zoomScaleNormal="85" zoomScalePageLayoutView="0" workbookViewId="0" topLeftCell="A1">
      <selection activeCell="I18" sqref="I18"/>
    </sheetView>
  </sheetViews>
  <sheetFormatPr defaultColWidth="9.140625" defaultRowHeight="12.75"/>
  <cols>
    <col min="1" max="1" width="5.57421875" style="1" bestFit="1" customWidth="1"/>
    <col min="2" max="2" width="37.57421875" style="1" bestFit="1" customWidth="1"/>
    <col min="3" max="14" width="16.7109375" style="1" customWidth="1"/>
    <col min="15" max="15" width="13.140625" style="1" bestFit="1" customWidth="1"/>
    <col min="16" max="16" width="14.28125" style="1" bestFit="1" customWidth="1"/>
    <col min="17" max="17" width="13.140625" style="1" bestFit="1" customWidth="1"/>
    <col min="18" max="18" width="14.28125" style="1" bestFit="1" customWidth="1"/>
    <col min="19" max="19" width="13.140625" style="1" bestFit="1" customWidth="1"/>
    <col min="20" max="20" width="14.28125" style="1" bestFit="1" customWidth="1"/>
    <col min="21" max="21" width="13.140625" style="1" bestFit="1" customWidth="1"/>
    <col min="22" max="22" width="14.28125" style="1" bestFit="1" customWidth="1"/>
    <col min="23" max="23" width="13.140625" style="1" bestFit="1" customWidth="1"/>
    <col min="24" max="24" width="14.28125" style="1" bestFit="1" customWidth="1"/>
    <col min="25" max="25" width="13.140625" style="1" bestFit="1" customWidth="1"/>
    <col min="26" max="26" width="14.28125" style="1" bestFit="1" customWidth="1"/>
    <col min="27" max="27" width="13.140625" style="1" bestFit="1" customWidth="1"/>
    <col min="28" max="28" width="14.28125" style="1" bestFit="1" customWidth="1"/>
    <col min="29" max="16384" width="9.140625" style="1" customWidth="1"/>
  </cols>
  <sheetData>
    <row r="2" spans="2:3" ht="12">
      <c r="B2" s="14" t="str">
        <f>modelname</f>
        <v>3rd Party Access Model</v>
      </c>
      <c r="C2" s="192" t="str">
        <f>HYPERLINK(Contents!$A$1,"Back to Contents Page")</f>
        <v>Back to Contents Page</v>
      </c>
    </row>
    <row r="3" spans="1:2" ht="11.25">
      <c r="A3" s="24"/>
      <c r="B3" s="190" t="s">
        <v>326</v>
      </c>
    </row>
    <row r="4" ht="9.75">
      <c r="B4" s="171" t="str">
        <f>Contents!D69</f>
        <v>This sheet displays capital expenditure projects in relation to the railway</v>
      </c>
    </row>
    <row r="6" ht="9.75">
      <c r="B6" s="121" t="s">
        <v>213</v>
      </c>
    </row>
    <row r="7" ht="10.5" thickBot="1">
      <c r="B7" s="171" t="str">
        <f>Contents!D70</f>
        <v>Display of the capital expenditure projects in relation to the railway</v>
      </c>
    </row>
    <row r="8" spans="3:7" ht="10.5" thickBot="1">
      <c r="C8" s="100" t="s">
        <v>77</v>
      </c>
      <c r="D8" s="90" t="s">
        <v>659</v>
      </c>
      <c r="E8" s="90" t="s">
        <v>660</v>
      </c>
      <c r="F8" s="91" t="s">
        <v>661</v>
      </c>
      <c r="G8" s="107" t="s">
        <v>662</v>
      </c>
    </row>
    <row r="9" spans="2:7" ht="9.75">
      <c r="B9" s="160" t="str">
        <f>Data!B111</f>
        <v>Project 1</v>
      </c>
      <c r="C9" s="160" t="str">
        <f>Data!D111</f>
        <v>All</v>
      </c>
      <c r="D9" s="159">
        <f>Data!E111</f>
        <v>40360</v>
      </c>
      <c r="E9" s="48">
        <f>Data!F111</f>
        <v>30</v>
      </c>
      <c r="F9" s="95">
        <f>Data!G111</f>
        <v>19203000</v>
      </c>
      <c r="G9" s="165">
        <f aca="true" t="shared" si="0" ref="G9:G23">IF(OR(E9=0,E9=""),0,PMT(wacc,E9,-F9))</f>
        <v>2802220.744291323</v>
      </c>
    </row>
    <row r="10" spans="2:7" ht="9.75">
      <c r="B10" s="34" t="str">
        <f>Data!B112</f>
        <v>Project 2</v>
      </c>
      <c r="C10" s="34" t="str">
        <f>Data!D112</f>
        <v>All</v>
      </c>
      <c r="D10" s="147">
        <f>Data!E112</f>
        <v>40543</v>
      </c>
      <c r="E10" s="61">
        <f>Data!F112</f>
        <v>30</v>
      </c>
      <c r="F10" s="29">
        <f>Data!G112</f>
        <v>16615000</v>
      </c>
      <c r="G10" s="166">
        <f t="shared" si="0"/>
        <v>2424563.7487059482</v>
      </c>
    </row>
    <row r="11" spans="2:7" ht="9.75">
      <c r="B11" s="34" t="str">
        <f>Data!B113</f>
        <v>Project 3</v>
      </c>
      <c r="C11" s="34" t="str">
        <f>Data!D113</f>
        <v>Cloudbreak to Xmas Creek</v>
      </c>
      <c r="D11" s="147">
        <f>Data!E113</f>
        <v>40603</v>
      </c>
      <c r="E11" s="33">
        <f>Data!F113</f>
        <v>30</v>
      </c>
      <c r="F11" s="29">
        <f>Data!G113</f>
        <v>86000000</v>
      </c>
      <c r="G11" s="166">
        <f t="shared" si="0"/>
        <v>12549652.867211048</v>
      </c>
    </row>
    <row r="12" spans="2:7" ht="9.75">
      <c r="B12" s="34" t="str">
        <f>Data!B114</f>
        <v>Project 4</v>
      </c>
      <c r="C12" s="34" t="str">
        <f>Data!D114</f>
        <v>All</v>
      </c>
      <c r="D12" s="147">
        <f>Data!E114</f>
        <v>40725</v>
      </c>
      <c r="E12" s="33">
        <f>Data!F114</f>
        <v>20</v>
      </c>
      <c r="F12" s="29">
        <f>Data!G114</f>
        <v>80000000</v>
      </c>
      <c r="G12" s="166">
        <f t="shared" si="0"/>
        <v>12309338.49161476</v>
      </c>
    </row>
    <row r="13" spans="2:7" ht="9.75">
      <c r="B13" s="34" t="str">
        <f>Data!B115</f>
        <v>Project 5</v>
      </c>
      <c r="C13" s="34">
        <f>Data!D115</f>
        <v>0</v>
      </c>
      <c r="D13" s="147">
        <f>Data!E115</f>
        <v>0</v>
      </c>
      <c r="E13" s="33">
        <f>Data!F115</f>
        <v>0</v>
      </c>
      <c r="F13" s="29">
        <f>Data!G115</f>
        <v>0</v>
      </c>
      <c r="G13" s="166">
        <f t="shared" si="0"/>
        <v>0</v>
      </c>
    </row>
    <row r="14" spans="2:7" ht="9.75">
      <c r="B14" s="34" t="str">
        <f>Data!B116</f>
        <v>Project 6</v>
      </c>
      <c r="C14" s="34">
        <f>Data!D116</f>
        <v>0</v>
      </c>
      <c r="D14" s="147">
        <f>Data!E116</f>
        <v>0</v>
      </c>
      <c r="E14" s="33">
        <f>Data!F116</f>
        <v>0</v>
      </c>
      <c r="F14" s="29">
        <f>Data!G116</f>
        <v>0</v>
      </c>
      <c r="G14" s="166">
        <f t="shared" si="0"/>
        <v>0</v>
      </c>
    </row>
    <row r="15" spans="2:7" ht="9.75">
      <c r="B15" s="34" t="str">
        <f>Data!B117</f>
        <v>Project 7</v>
      </c>
      <c r="C15" s="34">
        <f>Data!D117</f>
        <v>0</v>
      </c>
      <c r="D15" s="147">
        <f>Data!E117</f>
        <v>0</v>
      </c>
      <c r="E15" s="33">
        <f>Data!F117</f>
        <v>0</v>
      </c>
      <c r="F15" s="29">
        <f>Data!G117</f>
        <v>0</v>
      </c>
      <c r="G15" s="166">
        <f t="shared" si="0"/>
        <v>0</v>
      </c>
    </row>
    <row r="16" spans="2:7" ht="9.75">
      <c r="B16" s="34" t="str">
        <f>Data!B118</f>
        <v>Project 8</v>
      </c>
      <c r="C16" s="34">
        <f>Data!D118</f>
        <v>0</v>
      </c>
      <c r="D16" s="147">
        <f>Data!E118</f>
        <v>0</v>
      </c>
      <c r="E16" s="33">
        <f>Data!F118</f>
        <v>0</v>
      </c>
      <c r="F16" s="29">
        <f>Data!G118</f>
        <v>0</v>
      </c>
      <c r="G16" s="166">
        <f t="shared" si="0"/>
        <v>0</v>
      </c>
    </row>
    <row r="17" spans="2:7" ht="9.75">
      <c r="B17" s="34" t="str">
        <f>Data!B119</f>
        <v>Project 9</v>
      </c>
      <c r="C17" s="34">
        <f>Data!D119</f>
        <v>0</v>
      </c>
      <c r="D17" s="147">
        <f>Data!E119</f>
        <v>0</v>
      </c>
      <c r="E17" s="33">
        <f>Data!F119</f>
        <v>0</v>
      </c>
      <c r="F17" s="29">
        <f>Data!G119</f>
        <v>0</v>
      </c>
      <c r="G17" s="166">
        <f t="shared" si="0"/>
        <v>0</v>
      </c>
    </row>
    <row r="18" spans="2:7" ht="9.75">
      <c r="B18" s="34" t="str">
        <f>Data!B120</f>
        <v>Project 10</v>
      </c>
      <c r="C18" s="34">
        <f>Data!D120</f>
        <v>0</v>
      </c>
      <c r="D18" s="147">
        <f>Data!E120</f>
        <v>0</v>
      </c>
      <c r="E18" s="33">
        <f>Data!F120</f>
        <v>0</v>
      </c>
      <c r="F18" s="29">
        <f>Data!G120</f>
        <v>0</v>
      </c>
      <c r="G18" s="166">
        <f t="shared" si="0"/>
        <v>0</v>
      </c>
    </row>
    <row r="19" spans="2:7" ht="9.75">
      <c r="B19" s="34" t="str">
        <f>Data!B121</f>
        <v>Project 11</v>
      </c>
      <c r="C19" s="34">
        <f>Data!D121</f>
        <v>0</v>
      </c>
      <c r="D19" s="147">
        <f>Data!E121</f>
        <v>0</v>
      </c>
      <c r="E19" s="33">
        <f>Data!F121</f>
        <v>0</v>
      </c>
      <c r="F19" s="29">
        <f>Data!G121</f>
        <v>0</v>
      </c>
      <c r="G19" s="166">
        <f t="shared" si="0"/>
        <v>0</v>
      </c>
    </row>
    <row r="20" spans="2:7" ht="9.75">
      <c r="B20" s="34" t="str">
        <f>Data!B122</f>
        <v>Project 12</v>
      </c>
      <c r="C20" s="34">
        <f>Data!D122</f>
        <v>0</v>
      </c>
      <c r="D20" s="147">
        <f>Data!E122</f>
        <v>0</v>
      </c>
      <c r="E20" s="33">
        <f>Data!F122</f>
        <v>0</v>
      </c>
      <c r="F20" s="29">
        <f>Data!G122</f>
        <v>0</v>
      </c>
      <c r="G20" s="166">
        <f t="shared" si="0"/>
        <v>0</v>
      </c>
    </row>
    <row r="21" spans="2:7" ht="9.75">
      <c r="B21" s="34" t="str">
        <f>Data!B123</f>
        <v>Project 13</v>
      </c>
      <c r="C21" s="34">
        <f>Data!D123</f>
        <v>0</v>
      </c>
      <c r="D21" s="147">
        <f>Data!E123</f>
        <v>0</v>
      </c>
      <c r="E21" s="33">
        <f>Data!F123</f>
        <v>0</v>
      </c>
      <c r="F21" s="29">
        <f>Data!G123</f>
        <v>0</v>
      </c>
      <c r="G21" s="166">
        <f t="shared" si="0"/>
        <v>0</v>
      </c>
    </row>
    <row r="22" spans="2:7" ht="9.75">
      <c r="B22" s="34" t="str">
        <f>Data!B124</f>
        <v>Project 14</v>
      </c>
      <c r="C22" s="34">
        <f>Data!D124</f>
        <v>0</v>
      </c>
      <c r="D22" s="147">
        <f>Data!E124</f>
        <v>0</v>
      </c>
      <c r="E22" s="33">
        <f>Data!F124</f>
        <v>0</v>
      </c>
      <c r="F22" s="29">
        <f>Data!G124</f>
        <v>0</v>
      </c>
      <c r="G22" s="166">
        <f t="shared" si="0"/>
        <v>0</v>
      </c>
    </row>
    <row r="23" spans="2:7" ht="10.5" thickBot="1">
      <c r="B23" s="44" t="str">
        <f>Data!B125</f>
        <v>Project 15</v>
      </c>
      <c r="C23" s="44">
        <f>Data!D125</f>
        <v>0</v>
      </c>
      <c r="D23" s="148">
        <f>Data!E125</f>
        <v>0</v>
      </c>
      <c r="E23" s="54">
        <f>Data!F125</f>
        <v>0</v>
      </c>
      <c r="F23" s="97">
        <f>Data!G125</f>
        <v>0</v>
      </c>
      <c r="G23" s="85">
        <f t="shared" si="0"/>
        <v>0</v>
      </c>
    </row>
    <row r="24" spans="2:7" ht="10.5" thickBot="1">
      <c r="B24" s="59" t="s">
        <v>212</v>
      </c>
      <c r="C24" s="161"/>
      <c r="D24" s="161"/>
      <c r="E24" s="161"/>
      <c r="F24" s="161"/>
      <c r="G24" s="149">
        <f>SUM(G9:G23)</f>
        <v>30085775.851823077</v>
      </c>
    </row>
    <row r="26" spans="2:14" ht="10.5" thickBot="1">
      <c r="B26" s="1" t="s">
        <v>44</v>
      </c>
      <c r="C26" s="40">
        <f>modelstart</f>
        <v>40360</v>
      </c>
      <c r="D26" s="40">
        <f>EOMONTH(modelstart,11)</f>
        <v>40724</v>
      </c>
      <c r="E26" s="18">
        <f>D26+1</f>
        <v>40725</v>
      </c>
      <c r="F26" s="40">
        <f>EOMONTH(E26,11)</f>
        <v>41090</v>
      </c>
      <c r="G26" s="18">
        <f>F26+1</f>
        <v>41091</v>
      </c>
      <c r="H26" s="40">
        <f>EOMONTH(G26,11)</f>
        <v>41455</v>
      </c>
      <c r="I26" s="18">
        <f>H26+1</f>
        <v>41456</v>
      </c>
      <c r="J26" s="40">
        <f>EOMONTH(I26,11)</f>
        <v>41820</v>
      </c>
      <c r="K26" s="18">
        <f>J26+1</f>
        <v>41821</v>
      </c>
      <c r="L26" s="40">
        <f>EOMONTH(K26,11)</f>
        <v>42185</v>
      </c>
      <c r="M26" s="18">
        <f>L26+1</f>
        <v>42186</v>
      </c>
      <c r="N26" s="40">
        <f>EOMONTH(M26,11)</f>
        <v>42551</v>
      </c>
    </row>
    <row r="27" spans="3:14" ht="10.5" thickBot="1">
      <c r="C27" s="241" t="s">
        <v>38</v>
      </c>
      <c r="D27" s="242"/>
      <c r="E27" s="241" t="s">
        <v>39</v>
      </c>
      <c r="F27" s="242"/>
      <c r="G27" s="241" t="s">
        <v>40</v>
      </c>
      <c r="H27" s="242"/>
      <c r="I27" s="241" t="s">
        <v>41</v>
      </c>
      <c r="J27" s="242"/>
      <c r="K27" s="241" t="s">
        <v>42</v>
      </c>
      <c r="L27" s="242"/>
      <c r="M27" s="241" t="s">
        <v>43</v>
      </c>
      <c r="N27" s="242"/>
    </row>
    <row r="28" spans="2:14" ht="30.75" thickBot="1">
      <c r="B28" s="143" t="s">
        <v>188</v>
      </c>
      <c r="C28" s="89" t="s">
        <v>215</v>
      </c>
      <c r="D28" s="93" t="s">
        <v>216</v>
      </c>
      <c r="E28" s="89" t="s">
        <v>215</v>
      </c>
      <c r="F28" s="93" t="s">
        <v>216</v>
      </c>
      <c r="G28" s="89" t="s">
        <v>215</v>
      </c>
      <c r="H28" s="93" t="s">
        <v>216</v>
      </c>
      <c r="I28" s="89" t="s">
        <v>215</v>
      </c>
      <c r="J28" s="93" t="s">
        <v>216</v>
      </c>
      <c r="K28" s="89" t="s">
        <v>215</v>
      </c>
      <c r="L28" s="93" t="s">
        <v>216</v>
      </c>
      <c r="M28" s="89" t="s">
        <v>215</v>
      </c>
      <c r="N28" s="93" t="s">
        <v>216</v>
      </c>
    </row>
    <row r="29" spans="2:14" ht="9.75">
      <c r="B29" s="69" t="str">
        <f>Data!C52</f>
        <v>All</v>
      </c>
      <c r="C29" s="103">
        <f aca="true" t="shared" si="1" ref="C29:C50">SUMPRODUCT(($C$9:$C$23=$B29)*($D$9:$D$23&gt;=C$26)*($D$9:$D$23&lt;=D$26)*($G$9:$G$23)*((D$26-$D$9:$D$23)/365))</f>
        <v>3996861.3409255287</v>
      </c>
      <c r="D29" s="120">
        <f aca="true" t="shared" si="2" ref="D29:D50">SUMPRODUCT(($C$9:$C$23=$B29)*($D$9:$D$23&gt;=C$26)*($D$9:$D$23&lt;=D$26)*($G$9:$G$23))</f>
        <v>5226784.492997271</v>
      </c>
      <c r="E29" s="103">
        <f aca="true" t="shared" si="3" ref="E29:E50">SUMPRODUCT(($C$9:$C$23=$B29)*($D$9:$D$23&gt;=E$26)*($D$9:$D$23&lt;=F$26)*($G$9:$G$23)*((F$26-$D$9:$D$23)/365))</f>
        <v>12309338.49161476</v>
      </c>
      <c r="F29" s="120">
        <f aca="true" t="shared" si="4" ref="F29:F50">SUMPRODUCT(($C$9:$C$23=$B29)*($D$9:$D$23&gt;=E$26)*($D$9:$D$23&lt;=F$26)*($G$9:$G$23))</f>
        <v>12309338.49161476</v>
      </c>
      <c r="G29" s="103">
        <f aca="true" t="shared" si="5" ref="G29:G50">SUMPRODUCT(($C$9:$C$23=$B29)*($D$9:$D$23&gt;=G$26)*($D$9:$D$23&lt;=H$26)*($G$9:$G$23)*((H$26-$D$9:$D$23)/365))</f>
        <v>0</v>
      </c>
      <c r="H29" s="120">
        <f aca="true" t="shared" si="6" ref="H29:H50">SUMPRODUCT(($C$9:$C$23=$B29)*($D$9:$D$23&gt;=G$26)*($D$9:$D$23&lt;=H$26)*($G$9:$G$23))</f>
        <v>0</v>
      </c>
      <c r="I29" s="103">
        <f aca="true" t="shared" si="7" ref="I29:I50">SUMPRODUCT(($C$9:$C$23=$B29)*($D$9:$D$23&gt;=I$26)*($D$9:$D$23&lt;=J$26)*($G$9:$G$23)*((J$26-$D$9:$D$23)/365))</f>
        <v>0</v>
      </c>
      <c r="J29" s="120">
        <f aca="true" t="shared" si="8" ref="J29:J50">SUMPRODUCT(($C$9:$C$23=$B29)*($D$9:$D$23&gt;=I$26)*($D$9:$D$23&lt;=J$26)*($G$9:$G$23))</f>
        <v>0</v>
      </c>
      <c r="K29" s="103">
        <f aca="true" t="shared" si="9" ref="K29:K50">SUMPRODUCT(($C$9:$C$23=$B29)*($D$9:$D$23&gt;=K$26)*($D$9:$D$23&lt;=L$26)*($G$9:$G$23)*((L$26-$D$9:$D$23)/365))</f>
        <v>0</v>
      </c>
      <c r="L29" s="120">
        <f aca="true" t="shared" si="10" ref="L29:L50">SUMPRODUCT(($C$9:$C$23=$B29)*($D$9:$D$23&gt;=K$26)*($D$9:$D$23&lt;=L$26)*($G$9:$G$23))</f>
        <v>0</v>
      </c>
      <c r="M29" s="103">
        <f aca="true" t="shared" si="11" ref="M29:M50">SUMPRODUCT(($C$9:$C$23=$B29)*($D$9:$D$23&gt;=M$26)*($D$9:$D$23&lt;=N$26)*($G$9:$G$23)*((N$26-$D$9:$D$23)/365))</f>
        <v>0</v>
      </c>
      <c r="N29" s="120">
        <f aca="true" t="shared" si="12" ref="N29:N50">SUMPRODUCT(($C$9:$C$23=$B29)*($D$9:$D$23&gt;=M$26)*($D$9:$D$23&lt;=N$26)*($G$9:$G$23))</f>
        <v>0</v>
      </c>
    </row>
    <row r="30" spans="2:14" ht="9.75">
      <c r="B30" s="70" t="str">
        <f>Data!C53</f>
        <v>Equal Split</v>
      </c>
      <c r="C30" s="37">
        <f t="shared" si="1"/>
        <v>0</v>
      </c>
      <c r="D30" s="41">
        <f t="shared" si="2"/>
        <v>0</v>
      </c>
      <c r="E30" s="37">
        <f t="shared" si="3"/>
        <v>0</v>
      </c>
      <c r="F30" s="41">
        <f t="shared" si="4"/>
        <v>0</v>
      </c>
      <c r="G30" s="37">
        <f t="shared" si="5"/>
        <v>0</v>
      </c>
      <c r="H30" s="41">
        <f t="shared" si="6"/>
        <v>0</v>
      </c>
      <c r="I30" s="37">
        <f t="shared" si="7"/>
        <v>0</v>
      </c>
      <c r="J30" s="41">
        <f t="shared" si="8"/>
        <v>0</v>
      </c>
      <c r="K30" s="37">
        <f t="shared" si="9"/>
        <v>0</v>
      </c>
      <c r="L30" s="41">
        <f t="shared" si="10"/>
        <v>0</v>
      </c>
      <c r="M30" s="37">
        <f t="shared" si="11"/>
        <v>0</v>
      </c>
      <c r="N30" s="41">
        <f t="shared" si="12"/>
        <v>0</v>
      </c>
    </row>
    <row r="31" spans="2:14" ht="9.75">
      <c r="B31" s="70" t="str">
        <f>rail1</f>
        <v>Cloudbreak to Port Dumper</v>
      </c>
      <c r="C31" s="37">
        <f t="shared" si="1"/>
        <v>0</v>
      </c>
      <c r="D31" s="41">
        <f t="shared" si="2"/>
        <v>0</v>
      </c>
      <c r="E31" s="37">
        <f t="shared" si="3"/>
        <v>0</v>
      </c>
      <c r="F31" s="41">
        <f t="shared" si="4"/>
        <v>0</v>
      </c>
      <c r="G31" s="37">
        <f t="shared" si="5"/>
        <v>0</v>
      </c>
      <c r="H31" s="41">
        <f t="shared" si="6"/>
        <v>0</v>
      </c>
      <c r="I31" s="37">
        <f t="shared" si="7"/>
        <v>0</v>
      </c>
      <c r="J31" s="41">
        <f t="shared" si="8"/>
        <v>0</v>
      </c>
      <c r="K31" s="37">
        <f t="shared" si="9"/>
        <v>0</v>
      </c>
      <c r="L31" s="41">
        <f t="shared" si="10"/>
        <v>0</v>
      </c>
      <c r="M31" s="37">
        <f t="shared" si="11"/>
        <v>0</v>
      </c>
      <c r="N31" s="41">
        <f t="shared" si="12"/>
        <v>0</v>
      </c>
    </row>
    <row r="32" spans="2:14" ht="9.75">
      <c r="B32" s="70" t="str">
        <f>rail2</f>
        <v>Route 2</v>
      </c>
      <c r="C32" s="37">
        <f t="shared" si="1"/>
        <v>0</v>
      </c>
      <c r="D32" s="41">
        <f t="shared" si="2"/>
        <v>0</v>
      </c>
      <c r="E32" s="37">
        <f t="shared" si="3"/>
        <v>0</v>
      </c>
      <c r="F32" s="41">
        <f t="shared" si="4"/>
        <v>0</v>
      </c>
      <c r="G32" s="37">
        <f t="shared" si="5"/>
        <v>0</v>
      </c>
      <c r="H32" s="41">
        <f t="shared" si="6"/>
        <v>0</v>
      </c>
      <c r="I32" s="37">
        <f t="shared" si="7"/>
        <v>0</v>
      </c>
      <c r="J32" s="41">
        <f t="shared" si="8"/>
        <v>0</v>
      </c>
      <c r="K32" s="37">
        <f t="shared" si="9"/>
        <v>0</v>
      </c>
      <c r="L32" s="41">
        <f t="shared" si="10"/>
        <v>0</v>
      </c>
      <c r="M32" s="37">
        <f t="shared" si="11"/>
        <v>0</v>
      </c>
      <c r="N32" s="41">
        <f t="shared" si="12"/>
        <v>0</v>
      </c>
    </row>
    <row r="33" spans="2:14" ht="9.75">
      <c r="B33" s="70" t="str">
        <f>rail3</f>
        <v>Route 3</v>
      </c>
      <c r="C33" s="37">
        <f t="shared" si="1"/>
        <v>0</v>
      </c>
      <c r="D33" s="41">
        <f t="shared" si="2"/>
        <v>0</v>
      </c>
      <c r="E33" s="37">
        <f t="shared" si="3"/>
        <v>0</v>
      </c>
      <c r="F33" s="41">
        <f t="shared" si="4"/>
        <v>0</v>
      </c>
      <c r="G33" s="37">
        <f t="shared" si="5"/>
        <v>0</v>
      </c>
      <c r="H33" s="41">
        <f t="shared" si="6"/>
        <v>0</v>
      </c>
      <c r="I33" s="37">
        <f t="shared" si="7"/>
        <v>0</v>
      </c>
      <c r="J33" s="41">
        <f t="shared" si="8"/>
        <v>0</v>
      </c>
      <c r="K33" s="37">
        <f t="shared" si="9"/>
        <v>0</v>
      </c>
      <c r="L33" s="41">
        <f t="shared" si="10"/>
        <v>0</v>
      </c>
      <c r="M33" s="37">
        <f t="shared" si="11"/>
        <v>0</v>
      </c>
      <c r="N33" s="41">
        <f t="shared" si="12"/>
        <v>0</v>
      </c>
    </row>
    <row r="34" spans="2:14" ht="9.75">
      <c r="B34" s="70" t="str">
        <f>rail4</f>
        <v>Route 4</v>
      </c>
      <c r="C34" s="37">
        <f t="shared" si="1"/>
        <v>0</v>
      </c>
      <c r="D34" s="41">
        <f t="shared" si="2"/>
        <v>0</v>
      </c>
      <c r="E34" s="37">
        <f t="shared" si="3"/>
        <v>0</v>
      </c>
      <c r="F34" s="41">
        <f t="shared" si="4"/>
        <v>0</v>
      </c>
      <c r="G34" s="37">
        <f t="shared" si="5"/>
        <v>0</v>
      </c>
      <c r="H34" s="41">
        <f t="shared" si="6"/>
        <v>0</v>
      </c>
      <c r="I34" s="37">
        <f t="shared" si="7"/>
        <v>0</v>
      </c>
      <c r="J34" s="41">
        <f t="shared" si="8"/>
        <v>0</v>
      </c>
      <c r="K34" s="37">
        <f t="shared" si="9"/>
        <v>0</v>
      </c>
      <c r="L34" s="41">
        <f t="shared" si="10"/>
        <v>0</v>
      </c>
      <c r="M34" s="37">
        <f t="shared" si="11"/>
        <v>0</v>
      </c>
      <c r="N34" s="41">
        <f t="shared" si="12"/>
        <v>0</v>
      </c>
    </row>
    <row r="35" spans="2:14" ht="9.75">
      <c r="B35" s="70" t="str">
        <f>rail5</f>
        <v>Route 5</v>
      </c>
      <c r="C35" s="37">
        <f t="shared" si="1"/>
        <v>0</v>
      </c>
      <c r="D35" s="41">
        <f t="shared" si="2"/>
        <v>0</v>
      </c>
      <c r="E35" s="37">
        <f t="shared" si="3"/>
        <v>0</v>
      </c>
      <c r="F35" s="41">
        <f t="shared" si="4"/>
        <v>0</v>
      </c>
      <c r="G35" s="37">
        <f t="shared" si="5"/>
        <v>0</v>
      </c>
      <c r="H35" s="41">
        <f t="shared" si="6"/>
        <v>0</v>
      </c>
      <c r="I35" s="37">
        <f t="shared" si="7"/>
        <v>0</v>
      </c>
      <c r="J35" s="41">
        <f t="shared" si="8"/>
        <v>0</v>
      </c>
      <c r="K35" s="37">
        <f t="shared" si="9"/>
        <v>0</v>
      </c>
      <c r="L35" s="41">
        <f t="shared" si="10"/>
        <v>0</v>
      </c>
      <c r="M35" s="37">
        <f t="shared" si="11"/>
        <v>0</v>
      </c>
      <c r="N35" s="41">
        <f t="shared" si="12"/>
        <v>0</v>
      </c>
    </row>
    <row r="36" spans="2:14" ht="9.75">
      <c r="B36" s="70" t="str">
        <f>rail6</f>
        <v>Route 6</v>
      </c>
      <c r="C36" s="37">
        <f t="shared" si="1"/>
        <v>0</v>
      </c>
      <c r="D36" s="41">
        <f t="shared" si="2"/>
        <v>0</v>
      </c>
      <c r="E36" s="37">
        <f t="shared" si="3"/>
        <v>0</v>
      </c>
      <c r="F36" s="41">
        <f t="shared" si="4"/>
        <v>0</v>
      </c>
      <c r="G36" s="37">
        <f t="shared" si="5"/>
        <v>0</v>
      </c>
      <c r="H36" s="41">
        <f t="shared" si="6"/>
        <v>0</v>
      </c>
      <c r="I36" s="37">
        <f t="shared" si="7"/>
        <v>0</v>
      </c>
      <c r="J36" s="41">
        <f t="shared" si="8"/>
        <v>0</v>
      </c>
      <c r="K36" s="37">
        <f t="shared" si="9"/>
        <v>0</v>
      </c>
      <c r="L36" s="41">
        <f t="shared" si="10"/>
        <v>0</v>
      </c>
      <c r="M36" s="37">
        <f t="shared" si="11"/>
        <v>0</v>
      </c>
      <c r="N36" s="41">
        <f t="shared" si="12"/>
        <v>0</v>
      </c>
    </row>
    <row r="37" spans="2:14" ht="9.75">
      <c r="B37" s="70" t="str">
        <f>rail7</f>
        <v>Route 7</v>
      </c>
      <c r="C37" s="37">
        <f t="shared" si="1"/>
        <v>0</v>
      </c>
      <c r="D37" s="41">
        <f t="shared" si="2"/>
        <v>0</v>
      </c>
      <c r="E37" s="37">
        <f t="shared" si="3"/>
        <v>0</v>
      </c>
      <c r="F37" s="41">
        <f t="shared" si="4"/>
        <v>0</v>
      </c>
      <c r="G37" s="37">
        <f t="shared" si="5"/>
        <v>0</v>
      </c>
      <c r="H37" s="41">
        <f t="shared" si="6"/>
        <v>0</v>
      </c>
      <c r="I37" s="37">
        <f t="shared" si="7"/>
        <v>0</v>
      </c>
      <c r="J37" s="41">
        <f t="shared" si="8"/>
        <v>0</v>
      </c>
      <c r="K37" s="37">
        <f t="shared" si="9"/>
        <v>0</v>
      </c>
      <c r="L37" s="41">
        <f t="shared" si="10"/>
        <v>0</v>
      </c>
      <c r="M37" s="37">
        <f t="shared" si="11"/>
        <v>0</v>
      </c>
      <c r="N37" s="41">
        <f t="shared" si="12"/>
        <v>0</v>
      </c>
    </row>
    <row r="38" spans="2:14" ht="9.75">
      <c r="B38" s="70" t="str">
        <f>rail8</f>
        <v>Route 8</v>
      </c>
      <c r="C38" s="37">
        <f t="shared" si="1"/>
        <v>0</v>
      </c>
      <c r="D38" s="41">
        <f t="shared" si="2"/>
        <v>0</v>
      </c>
      <c r="E38" s="37">
        <f t="shared" si="3"/>
        <v>0</v>
      </c>
      <c r="F38" s="41">
        <f t="shared" si="4"/>
        <v>0</v>
      </c>
      <c r="G38" s="37">
        <f t="shared" si="5"/>
        <v>0</v>
      </c>
      <c r="H38" s="41">
        <f t="shared" si="6"/>
        <v>0</v>
      </c>
      <c r="I38" s="37">
        <f t="shared" si="7"/>
        <v>0</v>
      </c>
      <c r="J38" s="41">
        <f t="shared" si="8"/>
        <v>0</v>
      </c>
      <c r="K38" s="37">
        <f t="shared" si="9"/>
        <v>0</v>
      </c>
      <c r="L38" s="41">
        <f t="shared" si="10"/>
        <v>0</v>
      </c>
      <c r="M38" s="37">
        <f t="shared" si="11"/>
        <v>0</v>
      </c>
      <c r="N38" s="41">
        <f t="shared" si="12"/>
        <v>0</v>
      </c>
    </row>
    <row r="39" spans="2:14" ht="9.75">
      <c r="B39" s="70" t="str">
        <f>rail9</f>
        <v>Route 9</v>
      </c>
      <c r="C39" s="37">
        <f t="shared" si="1"/>
        <v>0</v>
      </c>
      <c r="D39" s="41">
        <f t="shared" si="2"/>
        <v>0</v>
      </c>
      <c r="E39" s="37">
        <f t="shared" si="3"/>
        <v>0</v>
      </c>
      <c r="F39" s="41">
        <f t="shared" si="4"/>
        <v>0</v>
      </c>
      <c r="G39" s="37">
        <f t="shared" si="5"/>
        <v>0</v>
      </c>
      <c r="H39" s="41">
        <f t="shared" si="6"/>
        <v>0</v>
      </c>
      <c r="I39" s="37">
        <f t="shared" si="7"/>
        <v>0</v>
      </c>
      <c r="J39" s="41">
        <f t="shared" si="8"/>
        <v>0</v>
      </c>
      <c r="K39" s="37">
        <f t="shared" si="9"/>
        <v>0</v>
      </c>
      <c r="L39" s="41">
        <f t="shared" si="10"/>
        <v>0</v>
      </c>
      <c r="M39" s="37">
        <f t="shared" si="11"/>
        <v>0</v>
      </c>
      <c r="N39" s="41">
        <f t="shared" si="12"/>
        <v>0</v>
      </c>
    </row>
    <row r="40" spans="2:14" ht="9.75">
      <c r="B40" s="70" t="str">
        <f>rail10</f>
        <v>Route 10</v>
      </c>
      <c r="C40" s="37">
        <f t="shared" si="1"/>
        <v>0</v>
      </c>
      <c r="D40" s="41">
        <f t="shared" si="2"/>
        <v>0</v>
      </c>
      <c r="E40" s="37">
        <f t="shared" si="3"/>
        <v>0</v>
      </c>
      <c r="F40" s="41">
        <f t="shared" si="4"/>
        <v>0</v>
      </c>
      <c r="G40" s="37">
        <f t="shared" si="5"/>
        <v>0</v>
      </c>
      <c r="H40" s="41">
        <f t="shared" si="6"/>
        <v>0</v>
      </c>
      <c r="I40" s="37">
        <f t="shared" si="7"/>
        <v>0</v>
      </c>
      <c r="J40" s="41">
        <f t="shared" si="8"/>
        <v>0</v>
      </c>
      <c r="K40" s="37">
        <f t="shared" si="9"/>
        <v>0</v>
      </c>
      <c r="L40" s="41">
        <f t="shared" si="10"/>
        <v>0</v>
      </c>
      <c r="M40" s="37">
        <f t="shared" si="11"/>
        <v>0</v>
      </c>
      <c r="N40" s="41">
        <f t="shared" si="12"/>
        <v>0</v>
      </c>
    </row>
    <row r="41" spans="2:14" ht="9.75">
      <c r="B41" s="70" t="str">
        <f>rail11</f>
        <v>Route 11</v>
      </c>
      <c r="C41" s="37">
        <f t="shared" si="1"/>
        <v>0</v>
      </c>
      <c r="D41" s="41">
        <f t="shared" si="2"/>
        <v>0</v>
      </c>
      <c r="E41" s="37">
        <f t="shared" si="3"/>
        <v>0</v>
      </c>
      <c r="F41" s="41">
        <f t="shared" si="4"/>
        <v>0</v>
      </c>
      <c r="G41" s="37">
        <f t="shared" si="5"/>
        <v>0</v>
      </c>
      <c r="H41" s="41">
        <f t="shared" si="6"/>
        <v>0</v>
      </c>
      <c r="I41" s="37">
        <f t="shared" si="7"/>
        <v>0</v>
      </c>
      <c r="J41" s="41">
        <f t="shared" si="8"/>
        <v>0</v>
      </c>
      <c r="K41" s="37">
        <f t="shared" si="9"/>
        <v>0</v>
      </c>
      <c r="L41" s="41">
        <f t="shared" si="10"/>
        <v>0</v>
      </c>
      <c r="M41" s="37">
        <f t="shared" si="11"/>
        <v>0</v>
      </c>
      <c r="N41" s="41">
        <f t="shared" si="12"/>
        <v>0</v>
      </c>
    </row>
    <row r="42" spans="2:14" ht="9.75">
      <c r="B42" s="70" t="str">
        <f>rail12</f>
        <v>Route 12</v>
      </c>
      <c r="C42" s="37">
        <f t="shared" si="1"/>
        <v>0</v>
      </c>
      <c r="D42" s="41">
        <f t="shared" si="2"/>
        <v>0</v>
      </c>
      <c r="E42" s="37">
        <f t="shared" si="3"/>
        <v>0</v>
      </c>
      <c r="F42" s="41">
        <f t="shared" si="4"/>
        <v>0</v>
      </c>
      <c r="G42" s="37">
        <f t="shared" si="5"/>
        <v>0</v>
      </c>
      <c r="H42" s="41">
        <f t="shared" si="6"/>
        <v>0</v>
      </c>
      <c r="I42" s="37">
        <f t="shared" si="7"/>
        <v>0</v>
      </c>
      <c r="J42" s="41">
        <f t="shared" si="8"/>
        <v>0</v>
      </c>
      <c r="K42" s="37">
        <f t="shared" si="9"/>
        <v>0</v>
      </c>
      <c r="L42" s="41">
        <f t="shared" si="10"/>
        <v>0</v>
      </c>
      <c r="M42" s="37">
        <f t="shared" si="11"/>
        <v>0</v>
      </c>
      <c r="N42" s="41">
        <f t="shared" si="12"/>
        <v>0</v>
      </c>
    </row>
    <row r="43" spans="2:14" ht="9.75">
      <c r="B43" s="70" t="str">
        <f>rail13</f>
        <v>Route 13</v>
      </c>
      <c r="C43" s="37">
        <f t="shared" si="1"/>
        <v>0</v>
      </c>
      <c r="D43" s="41">
        <f t="shared" si="2"/>
        <v>0</v>
      </c>
      <c r="E43" s="37">
        <f t="shared" si="3"/>
        <v>0</v>
      </c>
      <c r="F43" s="41">
        <f t="shared" si="4"/>
        <v>0</v>
      </c>
      <c r="G43" s="37">
        <f t="shared" si="5"/>
        <v>0</v>
      </c>
      <c r="H43" s="41">
        <f t="shared" si="6"/>
        <v>0</v>
      </c>
      <c r="I43" s="37">
        <f t="shared" si="7"/>
        <v>0</v>
      </c>
      <c r="J43" s="41">
        <f t="shared" si="8"/>
        <v>0</v>
      </c>
      <c r="K43" s="37">
        <f t="shared" si="9"/>
        <v>0</v>
      </c>
      <c r="L43" s="41">
        <f t="shared" si="10"/>
        <v>0</v>
      </c>
      <c r="M43" s="37">
        <f t="shared" si="11"/>
        <v>0</v>
      </c>
      <c r="N43" s="41">
        <f t="shared" si="12"/>
        <v>0</v>
      </c>
    </row>
    <row r="44" spans="2:14" ht="9.75">
      <c r="B44" s="70" t="str">
        <f>rail14</f>
        <v>Route 14</v>
      </c>
      <c r="C44" s="37">
        <f t="shared" si="1"/>
        <v>0</v>
      </c>
      <c r="D44" s="41">
        <f t="shared" si="2"/>
        <v>0</v>
      </c>
      <c r="E44" s="37">
        <f t="shared" si="3"/>
        <v>0</v>
      </c>
      <c r="F44" s="41">
        <f t="shared" si="4"/>
        <v>0</v>
      </c>
      <c r="G44" s="37">
        <f t="shared" si="5"/>
        <v>0</v>
      </c>
      <c r="H44" s="41">
        <f t="shared" si="6"/>
        <v>0</v>
      </c>
      <c r="I44" s="37">
        <f t="shared" si="7"/>
        <v>0</v>
      </c>
      <c r="J44" s="41">
        <f t="shared" si="8"/>
        <v>0</v>
      </c>
      <c r="K44" s="37">
        <f t="shared" si="9"/>
        <v>0</v>
      </c>
      <c r="L44" s="41">
        <f t="shared" si="10"/>
        <v>0</v>
      </c>
      <c r="M44" s="37">
        <f t="shared" si="11"/>
        <v>0</v>
      </c>
      <c r="N44" s="41">
        <f t="shared" si="12"/>
        <v>0</v>
      </c>
    </row>
    <row r="45" spans="2:14" ht="9.75">
      <c r="B45" s="70" t="str">
        <f>rail15</f>
        <v>Route 15</v>
      </c>
      <c r="C45" s="37">
        <f t="shared" si="1"/>
        <v>0</v>
      </c>
      <c r="D45" s="41">
        <f t="shared" si="2"/>
        <v>0</v>
      </c>
      <c r="E45" s="37">
        <f t="shared" si="3"/>
        <v>0</v>
      </c>
      <c r="F45" s="41">
        <f t="shared" si="4"/>
        <v>0</v>
      </c>
      <c r="G45" s="37">
        <f t="shared" si="5"/>
        <v>0</v>
      </c>
      <c r="H45" s="41">
        <f t="shared" si="6"/>
        <v>0</v>
      </c>
      <c r="I45" s="37">
        <f t="shared" si="7"/>
        <v>0</v>
      </c>
      <c r="J45" s="41">
        <f t="shared" si="8"/>
        <v>0</v>
      </c>
      <c r="K45" s="37">
        <f t="shared" si="9"/>
        <v>0</v>
      </c>
      <c r="L45" s="41">
        <f t="shared" si="10"/>
        <v>0</v>
      </c>
      <c r="M45" s="37">
        <f t="shared" si="11"/>
        <v>0</v>
      </c>
      <c r="N45" s="41">
        <f t="shared" si="12"/>
        <v>0</v>
      </c>
    </row>
    <row r="46" spans="2:14" ht="9.75">
      <c r="B46" s="70" t="str">
        <f>rail16</f>
        <v>Route 16</v>
      </c>
      <c r="C46" s="37">
        <f t="shared" si="1"/>
        <v>0</v>
      </c>
      <c r="D46" s="41">
        <f t="shared" si="2"/>
        <v>0</v>
      </c>
      <c r="E46" s="37">
        <f t="shared" si="3"/>
        <v>0</v>
      </c>
      <c r="F46" s="41">
        <f t="shared" si="4"/>
        <v>0</v>
      </c>
      <c r="G46" s="37">
        <f t="shared" si="5"/>
        <v>0</v>
      </c>
      <c r="H46" s="41">
        <f t="shared" si="6"/>
        <v>0</v>
      </c>
      <c r="I46" s="37">
        <f t="shared" si="7"/>
        <v>0</v>
      </c>
      <c r="J46" s="41">
        <f t="shared" si="8"/>
        <v>0</v>
      </c>
      <c r="K46" s="37">
        <f t="shared" si="9"/>
        <v>0</v>
      </c>
      <c r="L46" s="41">
        <f t="shared" si="10"/>
        <v>0</v>
      </c>
      <c r="M46" s="37">
        <f t="shared" si="11"/>
        <v>0</v>
      </c>
      <c r="N46" s="41">
        <f t="shared" si="12"/>
        <v>0</v>
      </c>
    </row>
    <row r="47" spans="2:14" ht="9.75">
      <c r="B47" s="70" t="str">
        <f>rail17</f>
        <v>Route 17</v>
      </c>
      <c r="C47" s="37">
        <f t="shared" si="1"/>
        <v>0</v>
      </c>
      <c r="D47" s="41">
        <f t="shared" si="2"/>
        <v>0</v>
      </c>
      <c r="E47" s="37">
        <f t="shared" si="3"/>
        <v>0</v>
      </c>
      <c r="F47" s="41">
        <f t="shared" si="4"/>
        <v>0</v>
      </c>
      <c r="G47" s="37">
        <f t="shared" si="5"/>
        <v>0</v>
      </c>
      <c r="H47" s="41">
        <f t="shared" si="6"/>
        <v>0</v>
      </c>
      <c r="I47" s="37">
        <f t="shared" si="7"/>
        <v>0</v>
      </c>
      <c r="J47" s="41">
        <f t="shared" si="8"/>
        <v>0</v>
      </c>
      <c r="K47" s="37">
        <f t="shared" si="9"/>
        <v>0</v>
      </c>
      <c r="L47" s="41">
        <f t="shared" si="10"/>
        <v>0</v>
      </c>
      <c r="M47" s="37">
        <f t="shared" si="11"/>
        <v>0</v>
      </c>
      <c r="N47" s="41">
        <f t="shared" si="12"/>
        <v>0</v>
      </c>
    </row>
    <row r="48" spans="2:14" ht="9.75">
      <c r="B48" s="70" t="str">
        <f>rail18</f>
        <v>Route 18</v>
      </c>
      <c r="C48" s="37">
        <f t="shared" si="1"/>
        <v>0</v>
      </c>
      <c r="D48" s="41">
        <f t="shared" si="2"/>
        <v>0</v>
      </c>
      <c r="E48" s="37">
        <f t="shared" si="3"/>
        <v>0</v>
      </c>
      <c r="F48" s="41">
        <f t="shared" si="4"/>
        <v>0</v>
      </c>
      <c r="G48" s="37">
        <f t="shared" si="5"/>
        <v>0</v>
      </c>
      <c r="H48" s="41">
        <f t="shared" si="6"/>
        <v>0</v>
      </c>
      <c r="I48" s="37">
        <f t="shared" si="7"/>
        <v>0</v>
      </c>
      <c r="J48" s="41">
        <f t="shared" si="8"/>
        <v>0</v>
      </c>
      <c r="K48" s="37">
        <f t="shared" si="9"/>
        <v>0</v>
      </c>
      <c r="L48" s="41">
        <f t="shared" si="10"/>
        <v>0</v>
      </c>
      <c r="M48" s="37">
        <f t="shared" si="11"/>
        <v>0</v>
      </c>
      <c r="N48" s="41">
        <f t="shared" si="12"/>
        <v>0</v>
      </c>
    </row>
    <row r="49" spans="2:14" ht="9.75">
      <c r="B49" s="70" t="str">
        <f>rail19</f>
        <v>Route 19</v>
      </c>
      <c r="C49" s="37">
        <f t="shared" si="1"/>
        <v>0</v>
      </c>
      <c r="D49" s="41">
        <f t="shared" si="2"/>
        <v>0</v>
      </c>
      <c r="E49" s="37">
        <f t="shared" si="3"/>
        <v>0</v>
      </c>
      <c r="F49" s="41">
        <f t="shared" si="4"/>
        <v>0</v>
      </c>
      <c r="G49" s="37">
        <f t="shared" si="5"/>
        <v>0</v>
      </c>
      <c r="H49" s="41">
        <f t="shared" si="6"/>
        <v>0</v>
      </c>
      <c r="I49" s="37">
        <f t="shared" si="7"/>
        <v>0</v>
      </c>
      <c r="J49" s="41">
        <f t="shared" si="8"/>
        <v>0</v>
      </c>
      <c r="K49" s="37">
        <f t="shared" si="9"/>
        <v>0</v>
      </c>
      <c r="L49" s="41">
        <f t="shared" si="10"/>
        <v>0</v>
      </c>
      <c r="M49" s="37">
        <f t="shared" si="11"/>
        <v>0</v>
      </c>
      <c r="N49" s="41">
        <f t="shared" si="12"/>
        <v>0</v>
      </c>
    </row>
    <row r="50" spans="2:14" ht="10.5" thickBot="1">
      <c r="B50" s="71" t="str">
        <f>rail20</f>
        <v>Route 20</v>
      </c>
      <c r="C50" s="101">
        <f t="shared" si="1"/>
        <v>0</v>
      </c>
      <c r="D50" s="102">
        <f t="shared" si="2"/>
        <v>0</v>
      </c>
      <c r="E50" s="101">
        <f t="shared" si="3"/>
        <v>0</v>
      </c>
      <c r="F50" s="102">
        <f t="shared" si="4"/>
        <v>0</v>
      </c>
      <c r="G50" s="101">
        <f t="shared" si="5"/>
        <v>0</v>
      </c>
      <c r="H50" s="102">
        <f t="shared" si="6"/>
        <v>0</v>
      </c>
      <c r="I50" s="101">
        <f t="shared" si="7"/>
        <v>0</v>
      </c>
      <c r="J50" s="102">
        <f t="shared" si="8"/>
        <v>0</v>
      </c>
      <c r="K50" s="101">
        <f t="shared" si="9"/>
        <v>0</v>
      </c>
      <c r="L50" s="102">
        <f t="shared" si="10"/>
        <v>0</v>
      </c>
      <c r="M50" s="101">
        <f t="shared" si="11"/>
        <v>0</v>
      </c>
      <c r="N50" s="102">
        <f t="shared" si="12"/>
        <v>0</v>
      </c>
    </row>
    <row r="52" spans="1:4" ht="10.5" thickBot="1">
      <c r="A52" s="198" t="str">
        <f>HYPERLINK(CONCATENATE(workbookname,"$A$1"),"Top")</f>
        <v>Top</v>
      </c>
      <c r="B52" s="2" t="s">
        <v>217</v>
      </c>
      <c r="D52" s="162"/>
    </row>
    <row r="53" spans="2:28" ht="10.5" thickBot="1">
      <c r="B53" s="171" t="str">
        <f>Contents!D71</f>
        <v>Annuities that relate to the capital expenditure projects based on the railway</v>
      </c>
      <c r="D53" s="162"/>
      <c r="E53" s="243" t="s">
        <v>218</v>
      </c>
      <c r="F53" s="244"/>
      <c r="G53" s="244"/>
      <c r="H53" s="244"/>
      <c r="I53" s="243" t="s">
        <v>219</v>
      </c>
      <c r="J53" s="244"/>
      <c r="K53" s="244"/>
      <c r="L53" s="244"/>
      <c r="M53" s="238" t="s">
        <v>220</v>
      </c>
      <c r="N53" s="239"/>
      <c r="O53" s="239"/>
      <c r="P53" s="239"/>
      <c r="Q53" s="238" t="s">
        <v>221</v>
      </c>
      <c r="R53" s="239"/>
      <c r="S53" s="239"/>
      <c r="T53" s="239"/>
      <c r="U53" s="238" t="s">
        <v>223</v>
      </c>
      <c r="V53" s="239"/>
      <c r="W53" s="239"/>
      <c r="X53" s="239"/>
      <c r="Y53" s="238" t="s">
        <v>224</v>
      </c>
      <c r="Z53" s="239"/>
      <c r="AA53" s="239"/>
      <c r="AB53" s="240"/>
    </row>
    <row r="54" spans="2:28" ht="30.75" thickBot="1">
      <c r="B54" s="143" t="s">
        <v>188</v>
      </c>
      <c r="C54" s="81" t="s">
        <v>139</v>
      </c>
      <c r="D54" s="82" t="s">
        <v>140</v>
      </c>
      <c r="E54" s="81" t="s">
        <v>146</v>
      </c>
      <c r="F54" s="82" t="s">
        <v>141</v>
      </c>
      <c r="G54" s="82" t="s">
        <v>142</v>
      </c>
      <c r="H54" s="87" t="s">
        <v>94</v>
      </c>
      <c r="I54" s="81" t="s">
        <v>146</v>
      </c>
      <c r="J54" s="82" t="s">
        <v>141</v>
      </c>
      <c r="K54" s="82" t="s">
        <v>142</v>
      </c>
      <c r="L54" s="87" t="s">
        <v>94</v>
      </c>
      <c r="M54" s="81" t="s">
        <v>146</v>
      </c>
      <c r="N54" s="82" t="s">
        <v>141</v>
      </c>
      <c r="O54" s="82" t="s">
        <v>142</v>
      </c>
      <c r="P54" s="87" t="s">
        <v>94</v>
      </c>
      <c r="Q54" s="81" t="s">
        <v>146</v>
      </c>
      <c r="R54" s="82" t="s">
        <v>141</v>
      </c>
      <c r="S54" s="82" t="s">
        <v>142</v>
      </c>
      <c r="T54" s="87" t="s">
        <v>94</v>
      </c>
      <c r="U54" s="81" t="s">
        <v>146</v>
      </c>
      <c r="V54" s="82" t="s">
        <v>141</v>
      </c>
      <c r="W54" s="82" t="s">
        <v>142</v>
      </c>
      <c r="X54" s="87" t="s">
        <v>94</v>
      </c>
      <c r="Y54" s="81" t="s">
        <v>146</v>
      </c>
      <c r="Z54" s="82" t="s">
        <v>141</v>
      </c>
      <c r="AA54" s="82" t="s">
        <v>142</v>
      </c>
      <c r="AB54" s="87" t="s">
        <v>94</v>
      </c>
    </row>
    <row r="55" spans="2:28" ht="9.75">
      <c r="B55" s="69" t="str">
        <f>B29</f>
        <v>All</v>
      </c>
      <c r="C55" s="34"/>
      <c r="D55" s="35"/>
      <c r="E55" s="34"/>
      <c r="F55" s="35"/>
      <c r="G55" s="35"/>
      <c r="H55" s="83"/>
      <c r="I55" s="34"/>
      <c r="J55" s="35"/>
      <c r="K55" s="35"/>
      <c r="L55" s="83"/>
      <c r="M55" s="34"/>
      <c r="N55" s="35"/>
      <c r="O55" s="35"/>
      <c r="P55" s="83"/>
      <c r="Q55" s="34"/>
      <c r="R55" s="35"/>
      <c r="S55" s="35"/>
      <c r="T55" s="83"/>
      <c r="U55" s="34"/>
      <c r="V55" s="35"/>
      <c r="W55" s="35"/>
      <c r="X55" s="83"/>
      <c r="Y55" s="34"/>
      <c r="Z55" s="35"/>
      <c r="AA55" s="35"/>
      <c r="AB55" s="83"/>
    </row>
    <row r="56" spans="2:28" ht="9.75">
      <c r="B56" s="70" t="str">
        <f>B30</f>
        <v>Equal Split</v>
      </c>
      <c r="C56" s="37"/>
      <c r="D56" s="33"/>
      <c r="E56" s="37"/>
      <c r="F56" s="29"/>
      <c r="G56" s="29"/>
      <c r="H56" s="84"/>
      <c r="I56" s="37"/>
      <c r="J56" s="29"/>
      <c r="K56" s="29"/>
      <c r="L56" s="84"/>
      <c r="M56" s="37"/>
      <c r="N56" s="29"/>
      <c r="O56" s="29"/>
      <c r="P56" s="84"/>
      <c r="Q56" s="37"/>
      <c r="R56" s="29"/>
      <c r="S56" s="29"/>
      <c r="T56" s="84"/>
      <c r="U56" s="37"/>
      <c r="V56" s="29"/>
      <c r="W56" s="29"/>
      <c r="X56" s="84"/>
      <c r="Y56" s="37"/>
      <c r="Z56" s="29"/>
      <c r="AA56" s="29"/>
      <c r="AB56" s="84"/>
    </row>
    <row r="57" spans="2:28" ht="9.75">
      <c r="B57" s="70" t="str">
        <f>rail1</f>
        <v>Cloudbreak to Port Dumper</v>
      </c>
      <c r="C57" s="37">
        <f aca="true" t="shared" si="13" ref="C57:C76">VLOOKUP($B57,raildata,3,FALSE)</f>
        <v>273534</v>
      </c>
      <c r="D57" s="33">
        <f aca="true" t="shared" si="14" ref="D57:D76">IF(VLOOKUP($B57,raildata,2,FALSE)="Yes",1,0)</f>
        <v>1</v>
      </c>
      <c r="E57" s="37">
        <f>$C$29*$D57/$D$77*$D57</f>
        <v>3996861.3409255287</v>
      </c>
      <c r="F57" s="29">
        <f>$C$30*$C57/$C$77*$D57</f>
        <v>0</v>
      </c>
      <c r="G57" s="29">
        <f>C31*$D57</f>
        <v>0</v>
      </c>
      <c r="H57" s="84">
        <f>SUM(E57:G57)</f>
        <v>3996861.3409255287</v>
      </c>
      <c r="I57" s="37">
        <f>SUM($D$29,$E$29)*$D57/$D$77*$D57</f>
        <v>17536122.984612033</v>
      </c>
      <c r="J57" s="29">
        <f>SUM($D$30,$E$30)*$C57/$C$77*$D57</f>
        <v>0</v>
      </c>
      <c r="K57" s="29">
        <f>SUM($D31,$E31)*$D57</f>
        <v>0</v>
      </c>
      <c r="L57" s="84">
        <f>SUM(I57:K57)</f>
        <v>17536122.984612033</v>
      </c>
      <c r="M57" s="37">
        <f>SUM($D$29,$F$29,$G$29)*$D57/$D$77*$D57</f>
        <v>17536122.984612033</v>
      </c>
      <c r="N57" s="29">
        <f>SUM($D$30,$F$30,$G$30)*$C57/$C$77*$D57</f>
        <v>0</v>
      </c>
      <c r="O57" s="29">
        <f>SUM($D31,$F31,$G31)*$D57</f>
        <v>0</v>
      </c>
      <c r="P57" s="84">
        <f>SUM(M57:O57)</f>
        <v>17536122.984612033</v>
      </c>
      <c r="Q57" s="37">
        <f>SUM($D$29,$F$29,$H$29,$I$29)*$D57/$D$77*$D57</f>
        <v>17536122.984612033</v>
      </c>
      <c r="R57" s="29">
        <f>SUM($D$30,$F$30,$H$30,$I$30)*$C57/$C$77*$D57</f>
        <v>0</v>
      </c>
      <c r="S57" s="29">
        <f>SUM($D31,$F31,$H31,$I31)*$D57</f>
        <v>0</v>
      </c>
      <c r="T57" s="84">
        <f>SUM(Q57:S57)</f>
        <v>17536122.984612033</v>
      </c>
      <c r="U57" s="37">
        <f>SUM($D$29,$F$29,$H$29,$J$29,$K$29)*$D57/$D$77*$D57</f>
        <v>17536122.984612033</v>
      </c>
      <c r="V57" s="29">
        <f>SUM($D$30,$F$30,$H$30,$J$30,$K$30)*$C57/$C$77*$D57</f>
        <v>0</v>
      </c>
      <c r="W57" s="29">
        <f>SUM($D31,$F31,$H31,$J31,$K31)*$D57</f>
        <v>0</v>
      </c>
      <c r="X57" s="84">
        <f>SUM(U57:W57)</f>
        <v>17536122.984612033</v>
      </c>
      <c r="Y57" s="37">
        <f>SUM($D$29,$F$29,$H$29,$J$29,$L$29,$M$29)*$D57/$D$77*$D57</f>
        <v>17536122.984612033</v>
      </c>
      <c r="Z57" s="29">
        <f>SUM($D$30,$F$30,$H$30,$J$30,$L$30,$M$30)*$C57/$C$77*$D57</f>
        <v>0</v>
      </c>
      <c r="AA57" s="29">
        <f>SUM($D31,$F31,$H31,$J31,$L31,$M31)*$D57</f>
        <v>0</v>
      </c>
      <c r="AB57" s="84">
        <f>SUM(Y57:AA57)</f>
        <v>17536122.984612033</v>
      </c>
    </row>
    <row r="58" spans="2:28" ht="9.75">
      <c r="B58" s="70" t="str">
        <f>rail2</f>
        <v>Route 2</v>
      </c>
      <c r="C58" s="37">
        <f t="shared" si="13"/>
        <v>0</v>
      </c>
      <c r="D58" s="33">
        <f t="shared" si="14"/>
        <v>0</v>
      </c>
      <c r="E58" s="37">
        <f aca="true" t="shared" si="15" ref="E58:E76">$C$29*$D58/$D$77*$D58</f>
        <v>0</v>
      </c>
      <c r="F58" s="29">
        <f aca="true" t="shared" si="16" ref="F58:F76">$C$30*$C58/$C$77*$D58</f>
        <v>0</v>
      </c>
      <c r="G58" s="29">
        <f aca="true" t="shared" si="17" ref="G58:G76">C32*$D58</f>
        <v>0</v>
      </c>
      <c r="H58" s="84">
        <f aca="true" t="shared" si="18" ref="H58:H76">SUM(E58:G58)</f>
        <v>0</v>
      </c>
      <c r="I58" s="37">
        <f aca="true" t="shared" si="19" ref="I58:I76">SUM($D$29,$E$29)*$D58/$D$77*$D58</f>
        <v>0</v>
      </c>
      <c r="J58" s="29">
        <f aca="true" t="shared" si="20" ref="J58:J76">SUM($D$30,$E$30)*$C58/$C$77*$D58</f>
        <v>0</v>
      </c>
      <c r="K58" s="29">
        <f aca="true" t="shared" si="21" ref="K58:K76">SUM($D32,$E32)*$D58</f>
        <v>0</v>
      </c>
      <c r="L58" s="84">
        <f aca="true" t="shared" si="22" ref="L58:L76">SUM(I58:K58)</f>
        <v>0</v>
      </c>
      <c r="M58" s="37">
        <f aca="true" t="shared" si="23" ref="M58:M76">SUM($D$29,$F$29,$G$29)*$D58/$D$77*$D58</f>
        <v>0</v>
      </c>
      <c r="N58" s="29">
        <f aca="true" t="shared" si="24" ref="N58:N76">SUM($D$30,$F$30,$G$30)*$C58/$C$77*$D58</f>
        <v>0</v>
      </c>
      <c r="O58" s="29">
        <f aca="true" t="shared" si="25" ref="O58:O76">SUM($D32,$F32,$G32)*$D58</f>
        <v>0</v>
      </c>
      <c r="P58" s="84">
        <f aca="true" t="shared" si="26" ref="P58:P76">SUM(M58:O58)</f>
        <v>0</v>
      </c>
      <c r="Q58" s="37">
        <f aca="true" t="shared" si="27" ref="Q58:Q76">SUM($D$29,$F$29,$H$29,$I$29)*$D58/$D$77*$D58</f>
        <v>0</v>
      </c>
      <c r="R58" s="29">
        <f aca="true" t="shared" si="28" ref="R58:R76">SUM($D$30,$F$30,$H$30,$I$30)*$C58/$C$77*$D58</f>
        <v>0</v>
      </c>
      <c r="S58" s="29">
        <f aca="true" t="shared" si="29" ref="S58:S76">SUM($D32,$F32,$H32,$I32)*$D58</f>
        <v>0</v>
      </c>
      <c r="T58" s="84">
        <f aca="true" t="shared" si="30" ref="T58:T76">SUM(Q58:S58)</f>
        <v>0</v>
      </c>
      <c r="U58" s="37">
        <f aca="true" t="shared" si="31" ref="U58:U76">SUM($D$29,$F$29,$H$29,$J$29,$K$29)*$D58/$D$77*$D58</f>
        <v>0</v>
      </c>
      <c r="V58" s="29">
        <f aca="true" t="shared" si="32" ref="V58:V76">SUM($D$30,$F$30,$H$30,$J$30,$K$30)*$C58/$C$77*$D58</f>
        <v>0</v>
      </c>
      <c r="W58" s="29">
        <f aca="true" t="shared" si="33" ref="W58:W76">SUM($D32,$F32,$H32,$J32,$K32)*$D58</f>
        <v>0</v>
      </c>
      <c r="X58" s="84">
        <f aca="true" t="shared" si="34" ref="X58:X76">SUM(U58:W58)</f>
        <v>0</v>
      </c>
      <c r="Y58" s="37">
        <f aca="true" t="shared" si="35" ref="Y58:Y76">SUM($D$29,$F$29,$H$29,$J$29,$L$29,$M$29)*$D58/$D$77*$D58</f>
        <v>0</v>
      </c>
      <c r="Z58" s="29">
        <f aca="true" t="shared" si="36" ref="Z58:Z76">SUM($D$30,$F$30,$H$30,$J$30,$L$30,$M$30)*$C58/$C$77*$D58</f>
        <v>0</v>
      </c>
      <c r="AA58" s="29">
        <f aca="true" t="shared" si="37" ref="AA58:AA76">SUM($D32,$F32,$H32,$J32,$L32,$M32)*$D58</f>
        <v>0</v>
      </c>
      <c r="AB58" s="84">
        <f aca="true" t="shared" si="38" ref="AB58:AB66">SUM(Y58:AA58)</f>
        <v>0</v>
      </c>
    </row>
    <row r="59" spans="2:28" ht="9.75">
      <c r="B59" s="70" t="str">
        <f>rail3</f>
        <v>Route 3</v>
      </c>
      <c r="C59" s="37">
        <f t="shared" si="13"/>
        <v>0</v>
      </c>
      <c r="D59" s="33">
        <f t="shared" si="14"/>
        <v>0</v>
      </c>
      <c r="E59" s="37">
        <f t="shared" si="15"/>
        <v>0</v>
      </c>
      <c r="F59" s="29">
        <f t="shared" si="16"/>
        <v>0</v>
      </c>
      <c r="G59" s="29">
        <f t="shared" si="17"/>
        <v>0</v>
      </c>
      <c r="H59" s="84">
        <f t="shared" si="18"/>
        <v>0</v>
      </c>
      <c r="I59" s="37">
        <f t="shared" si="19"/>
        <v>0</v>
      </c>
      <c r="J59" s="29">
        <f t="shared" si="20"/>
        <v>0</v>
      </c>
      <c r="K59" s="29">
        <f t="shared" si="21"/>
        <v>0</v>
      </c>
      <c r="L59" s="84">
        <f t="shared" si="22"/>
        <v>0</v>
      </c>
      <c r="M59" s="37">
        <f t="shared" si="23"/>
        <v>0</v>
      </c>
      <c r="N59" s="29">
        <f t="shared" si="24"/>
        <v>0</v>
      </c>
      <c r="O59" s="29">
        <f t="shared" si="25"/>
        <v>0</v>
      </c>
      <c r="P59" s="84">
        <f t="shared" si="26"/>
        <v>0</v>
      </c>
      <c r="Q59" s="37">
        <f t="shared" si="27"/>
        <v>0</v>
      </c>
      <c r="R59" s="29">
        <f t="shared" si="28"/>
        <v>0</v>
      </c>
      <c r="S59" s="29">
        <f t="shared" si="29"/>
        <v>0</v>
      </c>
      <c r="T59" s="84">
        <f t="shared" si="30"/>
        <v>0</v>
      </c>
      <c r="U59" s="37">
        <f t="shared" si="31"/>
        <v>0</v>
      </c>
      <c r="V59" s="29">
        <f t="shared" si="32"/>
        <v>0</v>
      </c>
      <c r="W59" s="29">
        <f t="shared" si="33"/>
        <v>0</v>
      </c>
      <c r="X59" s="84">
        <f t="shared" si="34"/>
        <v>0</v>
      </c>
      <c r="Y59" s="37">
        <f t="shared" si="35"/>
        <v>0</v>
      </c>
      <c r="Z59" s="29">
        <f t="shared" si="36"/>
        <v>0</v>
      </c>
      <c r="AA59" s="29">
        <f t="shared" si="37"/>
        <v>0</v>
      </c>
      <c r="AB59" s="84">
        <f t="shared" si="38"/>
        <v>0</v>
      </c>
    </row>
    <row r="60" spans="2:28" ht="9.75">
      <c r="B60" s="70" t="str">
        <f>rail4</f>
        <v>Route 4</v>
      </c>
      <c r="C60" s="37">
        <f t="shared" si="13"/>
        <v>0</v>
      </c>
      <c r="D60" s="33">
        <f t="shared" si="14"/>
        <v>0</v>
      </c>
      <c r="E60" s="37">
        <f t="shared" si="15"/>
        <v>0</v>
      </c>
      <c r="F60" s="29">
        <f t="shared" si="16"/>
        <v>0</v>
      </c>
      <c r="G60" s="29">
        <f t="shared" si="17"/>
        <v>0</v>
      </c>
      <c r="H60" s="84">
        <f t="shared" si="18"/>
        <v>0</v>
      </c>
      <c r="I60" s="37">
        <f t="shared" si="19"/>
        <v>0</v>
      </c>
      <c r="J60" s="29">
        <f t="shared" si="20"/>
        <v>0</v>
      </c>
      <c r="K60" s="29">
        <f t="shared" si="21"/>
        <v>0</v>
      </c>
      <c r="L60" s="84">
        <f t="shared" si="22"/>
        <v>0</v>
      </c>
      <c r="M60" s="37">
        <f t="shared" si="23"/>
        <v>0</v>
      </c>
      <c r="N60" s="29">
        <f t="shared" si="24"/>
        <v>0</v>
      </c>
      <c r="O60" s="29">
        <f t="shared" si="25"/>
        <v>0</v>
      </c>
      <c r="P60" s="84">
        <f t="shared" si="26"/>
        <v>0</v>
      </c>
      <c r="Q60" s="37">
        <f t="shared" si="27"/>
        <v>0</v>
      </c>
      <c r="R60" s="29">
        <f t="shared" si="28"/>
        <v>0</v>
      </c>
      <c r="S60" s="29">
        <f t="shared" si="29"/>
        <v>0</v>
      </c>
      <c r="T60" s="84">
        <f t="shared" si="30"/>
        <v>0</v>
      </c>
      <c r="U60" s="37">
        <f t="shared" si="31"/>
        <v>0</v>
      </c>
      <c r="V60" s="29">
        <f t="shared" si="32"/>
        <v>0</v>
      </c>
      <c r="W60" s="29">
        <f t="shared" si="33"/>
        <v>0</v>
      </c>
      <c r="X60" s="84">
        <f t="shared" si="34"/>
        <v>0</v>
      </c>
      <c r="Y60" s="37">
        <f t="shared" si="35"/>
        <v>0</v>
      </c>
      <c r="Z60" s="29">
        <f t="shared" si="36"/>
        <v>0</v>
      </c>
      <c r="AA60" s="29">
        <f t="shared" si="37"/>
        <v>0</v>
      </c>
      <c r="AB60" s="84">
        <f t="shared" si="38"/>
        <v>0</v>
      </c>
    </row>
    <row r="61" spans="2:28" ht="9.75">
      <c r="B61" s="70" t="str">
        <f>rail5</f>
        <v>Route 5</v>
      </c>
      <c r="C61" s="37">
        <f t="shared" si="13"/>
        <v>0</v>
      </c>
      <c r="D61" s="33">
        <f t="shared" si="14"/>
        <v>0</v>
      </c>
      <c r="E61" s="37">
        <f t="shared" si="15"/>
        <v>0</v>
      </c>
      <c r="F61" s="29">
        <f t="shared" si="16"/>
        <v>0</v>
      </c>
      <c r="G61" s="29">
        <f t="shared" si="17"/>
        <v>0</v>
      </c>
      <c r="H61" s="84">
        <f t="shared" si="18"/>
        <v>0</v>
      </c>
      <c r="I61" s="37">
        <f t="shared" si="19"/>
        <v>0</v>
      </c>
      <c r="J61" s="29">
        <f t="shared" si="20"/>
        <v>0</v>
      </c>
      <c r="K61" s="29">
        <f t="shared" si="21"/>
        <v>0</v>
      </c>
      <c r="L61" s="84">
        <f t="shared" si="22"/>
        <v>0</v>
      </c>
      <c r="M61" s="37">
        <f t="shared" si="23"/>
        <v>0</v>
      </c>
      <c r="N61" s="29">
        <f t="shared" si="24"/>
        <v>0</v>
      </c>
      <c r="O61" s="29">
        <f t="shared" si="25"/>
        <v>0</v>
      </c>
      <c r="P61" s="84">
        <f t="shared" si="26"/>
        <v>0</v>
      </c>
      <c r="Q61" s="37">
        <f t="shared" si="27"/>
        <v>0</v>
      </c>
      <c r="R61" s="29">
        <f t="shared" si="28"/>
        <v>0</v>
      </c>
      <c r="S61" s="29">
        <f t="shared" si="29"/>
        <v>0</v>
      </c>
      <c r="T61" s="84">
        <f t="shared" si="30"/>
        <v>0</v>
      </c>
      <c r="U61" s="37">
        <f t="shared" si="31"/>
        <v>0</v>
      </c>
      <c r="V61" s="29">
        <f t="shared" si="32"/>
        <v>0</v>
      </c>
      <c r="W61" s="29">
        <f t="shared" si="33"/>
        <v>0</v>
      </c>
      <c r="X61" s="84">
        <f t="shared" si="34"/>
        <v>0</v>
      </c>
      <c r="Y61" s="37">
        <f t="shared" si="35"/>
        <v>0</v>
      </c>
      <c r="Z61" s="29">
        <f t="shared" si="36"/>
        <v>0</v>
      </c>
      <c r="AA61" s="29">
        <f t="shared" si="37"/>
        <v>0</v>
      </c>
      <c r="AB61" s="84">
        <f t="shared" si="38"/>
        <v>0</v>
      </c>
    </row>
    <row r="62" spans="2:28" ht="9.75">
      <c r="B62" s="70" t="str">
        <f>rail6</f>
        <v>Route 6</v>
      </c>
      <c r="C62" s="37">
        <f t="shared" si="13"/>
        <v>0</v>
      </c>
      <c r="D62" s="33">
        <f t="shared" si="14"/>
        <v>0</v>
      </c>
      <c r="E62" s="37">
        <f t="shared" si="15"/>
        <v>0</v>
      </c>
      <c r="F62" s="29">
        <f t="shared" si="16"/>
        <v>0</v>
      </c>
      <c r="G62" s="29">
        <f t="shared" si="17"/>
        <v>0</v>
      </c>
      <c r="H62" s="84">
        <f t="shared" si="18"/>
        <v>0</v>
      </c>
      <c r="I62" s="37">
        <f t="shared" si="19"/>
        <v>0</v>
      </c>
      <c r="J62" s="29">
        <f t="shared" si="20"/>
        <v>0</v>
      </c>
      <c r="K62" s="29">
        <f t="shared" si="21"/>
        <v>0</v>
      </c>
      <c r="L62" s="84">
        <f t="shared" si="22"/>
        <v>0</v>
      </c>
      <c r="M62" s="37">
        <f t="shared" si="23"/>
        <v>0</v>
      </c>
      <c r="N62" s="29">
        <f t="shared" si="24"/>
        <v>0</v>
      </c>
      <c r="O62" s="29">
        <f t="shared" si="25"/>
        <v>0</v>
      </c>
      <c r="P62" s="84">
        <f t="shared" si="26"/>
        <v>0</v>
      </c>
      <c r="Q62" s="37">
        <f t="shared" si="27"/>
        <v>0</v>
      </c>
      <c r="R62" s="29">
        <f t="shared" si="28"/>
        <v>0</v>
      </c>
      <c r="S62" s="29">
        <f t="shared" si="29"/>
        <v>0</v>
      </c>
      <c r="T62" s="84">
        <f t="shared" si="30"/>
        <v>0</v>
      </c>
      <c r="U62" s="37">
        <f t="shared" si="31"/>
        <v>0</v>
      </c>
      <c r="V62" s="29">
        <f t="shared" si="32"/>
        <v>0</v>
      </c>
      <c r="W62" s="29">
        <f t="shared" si="33"/>
        <v>0</v>
      </c>
      <c r="X62" s="84">
        <f t="shared" si="34"/>
        <v>0</v>
      </c>
      <c r="Y62" s="37">
        <f t="shared" si="35"/>
        <v>0</v>
      </c>
      <c r="Z62" s="29">
        <f t="shared" si="36"/>
        <v>0</v>
      </c>
      <c r="AA62" s="29">
        <f t="shared" si="37"/>
        <v>0</v>
      </c>
      <c r="AB62" s="84">
        <f t="shared" si="38"/>
        <v>0</v>
      </c>
    </row>
    <row r="63" spans="2:28" ht="9.75">
      <c r="B63" s="70" t="str">
        <f>rail7</f>
        <v>Route 7</v>
      </c>
      <c r="C63" s="37">
        <f t="shared" si="13"/>
        <v>0</v>
      </c>
      <c r="D63" s="33">
        <f t="shared" si="14"/>
        <v>0</v>
      </c>
      <c r="E63" s="37">
        <f t="shared" si="15"/>
        <v>0</v>
      </c>
      <c r="F63" s="29">
        <f t="shared" si="16"/>
        <v>0</v>
      </c>
      <c r="G63" s="29">
        <f t="shared" si="17"/>
        <v>0</v>
      </c>
      <c r="H63" s="84">
        <f t="shared" si="18"/>
        <v>0</v>
      </c>
      <c r="I63" s="37">
        <f t="shared" si="19"/>
        <v>0</v>
      </c>
      <c r="J63" s="29">
        <f t="shared" si="20"/>
        <v>0</v>
      </c>
      <c r="K63" s="29">
        <f t="shared" si="21"/>
        <v>0</v>
      </c>
      <c r="L63" s="84">
        <f t="shared" si="22"/>
        <v>0</v>
      </c>
      <c r="M63" s="37">
        <f t="shared" si="23"/>
        <v>0</v>
      </c>
      <c r="N63" s="29">
        <f t="shared" si="24"/>
        <v>0</v>
      </c>
      <c r="O63" s="29">
        <f t="shared" si="25"/>
        <v>0</v>
      </c>
      <c r="P63" s="84">
        <f t="shared" si="26"/>
        <v>0</v>
      </c>
      <c r="Q63" s="37">
        <f t="shared" si="27"/>
        <v>0</v>
      </c>
      <c r="R63" s="29">
        <f t="shared" si="28"/>
        <v>0</v>
      </c>
      <c r="S63" s="29">
        <f t="shared" si="29"/>
        <v>0</v>
      </c>
      <c r="T63" s="84">
        <f t="shared" si="30"/>
        <v>0</v>
      </c>
      <c r="U63" s="37">
        <f t="shared" si="31"/>
        <v>0</v>
      </c>
      <c r="V63" s="29">
        <f t="shared" si="32"/>
        <v>0</v>
      </c>
      <c r="W63" s="29">
        <f t="shared" si="33"/>
        <v>0</v>
      </c>
      <c r="X63" s="84">
        <f t="shared" si="34"/>
        <v>0</v>
      </c>
      <c r="Y63" s="37">
        <f t="shared" si="35"/>
        <v>0</v>
      </c>
      <c r="Z63" s="29">
        <f t="shared" si="36"/>
        <v>0</v>
      </c>
      <c r="AA63" s="29">
        <f t="shared" si="37"/>
        <v>0</v>
      </c>
      <c r="AB63" s="84">
        <f t="shared" si="38"/>
        <v>0</v>
      </c>
    </row>
    <row r="64" spans="2:28" ht="9.75">
      <c r="B64" s="70" t="str">
        <f>rail8</f>
        <v>Route 8</v>
      </c>
      <c r="C64" s="37">
        <f t="shared" si="13"/>
        <v>0</v>
      </c>
      <c r="D64" s="33">
        <f t="shared" si="14"/>
        <v>0</v>
      </c>
      <c r="E64" s="37">
        <f t="shared" si="15"/>
        <v>0</v>
      </c>
      <c r="F64" s="29">
        <f t="shared" si="16"/>
        <v>0</v>
      </c>
      <c r="G64" s="29">
        <f t="shared" si="17"/>
        <v>0</v>
      </c>
      <c r="H64" s="84">
        <f t="shared" si="18"/>
        <v>0</v>
      </c>
      <c r="I64" s="37">
        <f t="shared" si="19"/>
        <v>0</v>
      </c>
      <c r="J64" s="29">
        <f t="shared" si="20"/>
        <v>0</v>
      </c>
      <c r="K64" s="29">
        <f t="shared" si="21"/>
        <v>0</v>
      </c>
      <c r="L64" s="84">
        <f t="shared" si="22"/>
        <v>0</v>
      </c>
      <c r="M64" s="37">
        <f t="shared" si="23"/>
        <v>0</v>
      </c>
      <c r="N64" s="29">
        <f t="shared" si="24"/>
        <v>0</v>
      </c>
      <c r="O64" s="29">
        <f t="shared" si="25"/>
        <v>0</v>
      </c>
      <c r="P64" s="84">
        <f t="shared" si="26"/>
        <v>0</v>
      </c>
      <c r="Q64" s="37">
        <f t="shared" si="27"/>
        <v>0</v>
      </c>
      <c r="R64" s="29">
        <f t="shared" si="28"/>
        <v>0</v>
      </c>
      <c r="S64" s="29">
        <f t="shared" si="29"/>
        <v>0</v>
      </c>
      <c r="T64" s="84">
        <f t="shared" si="30"/>
        <v>0</v>
      </c>
      <c r="U64" s="37">
        <f t="shared" si="31"/>
        <v>0</v>
      </c>
      <c r="V64" s="29">
        <f t="shared" si="32"/>
        <v>0</v>
      </c>
      <c r="W64" s="29">
        <f t="shared" si="33"/>
        <v>0</v>
      </c>
      <c r="X64" s="84">
        <f t="shared" si="34"/>
        <v>0</v>
      </c>
      <c r="Y64" s="37">
        <f t="shared" si="35"/>
        <v>0</v>
      </c>
      <c r="Z64" s="29">
        <f t="shared" si="36"/>
        <v>0</v>
      </c>
      <c r="AA64" s="29">
        <f t="shared" si="37"/>
        <v>0</v>
      </c>
      <c r="AB64" s="84">
        <f t="shared" si="38"/>
        <v>0</v>
      </c>
    </row>
    <row r="65" spans="2:28" ht="9.75">
      <c r="B65" s="70" t="str">
        <f>rail9</f>
        <v>Route 9</v>
      </c>
      <c r="C65" s="37">
        <f t="shared" si="13"/>
        <v>0</v>
      </c>
      <c r="D65" s="33">
        <f t="shared" si="14"/>
        <v>0</v>
      </c>
      <c r="E65" s="37">
        <f t="shared" si="15"/>
        <v>0</v>
      </c>
      <c r="F65" s="29">
        <f t="shared" si="16"/>
        <v>0</v>
      </c>
      <c r="G65" s="29">
        <f t="shared" si="17"/>
        <v>0</v>
      </c>
      <c r="H65" s="84">
        <f t="shared" si="18"/>
        <v>0</v>
      </c>
      <c r="I65" s="37">
        <f t="shared" si="19"/>
        <v>0</v>
      </c>
      <c r="J65" s="29">
        <f t="shared" si="20"/>
        <v>0</v>
      </c>
      <c r="K65" s="29">
        <f t="shared" si="21"/>
        <v>0</v>
      </c>
      <c r="L65" s="84">
        <f t="shared" si="22"/>
        <v>0</v>
      </c>
      <c r="M65" s="37">
        <f t="shared" si="23"/>
        <v>0</v>
      </c>
      <c r="N65" s="29">
        <f t="shared" si="24"/>
        <v>0</v>
      </c>
      <c r="O65" s="29">
        <f t="shared" si="25"/>
        <v>0</v>
      </c>
      <c r="P65" s="84">
        <f t="shared" si="26"/>
        <v>0</v>
      </c>
      <c r="Q65" s="37">
        <f t="shared" si="27"/>
        <v>0</v>
      </c>
      <c r="R65" s="29">
        <f t="shared" si="28"/>
        <v>0</v>
      </c>
      <c r="S65" s="29">
        <f t="shared" si="29"/>
        <v>0</v>
      </c>
      <c r="T65" s="84">
        <f t="shared" si="30"/>
        <v>0</v>
      </c>
      <c r="U65" s="37">
        <f t="shared" si="31"/>
        <v>0</v>
      </c>
      <c r="V65" s="29">
        <f t="shared" si="32"/>
        <v>0</v>
      </c>
      <c r="W65" s="29">
        <f t="shared" si="33"/>
        <v>0</v>
      </c>
      <c r="X65" s="84">
        <f t="shared" si="34"/>
        <v>0</v>
      </c>
      <c r="Y65" s="37">
        <f t="shared" si="35"/>
        <v>0</v>
      </c>
      <c r="Z65" s="29">
        <f t="shared" si="36"/>
        <v>0</v>
      </c>
      <c r="AA65" s="29">
        <f t="shared" si="37"/>
        <v>0</v>
      </c>
      <c r="AB65" s="84">
        <f t="shared" si="38"/>
        <v>0</v>
      </c>
    </row>
    <row r="66" spans="2:28" ht="9.75">
      <c r="B66" s="70" t="str">
        <f>rail10</f>
        <v>Route 10</v>
      </c>
      <c r="C66" s="37">
        <f t="shared" si="13"/>
        <v>0</v>
      </c>
      <c r="D66" s="33">
        <f t="shared" si="14"/>
        <v>0</v>
      </c>
      <c r="E66" s="37">
        <f t="shared" si="15"/>
        <v>0</v>
      </c>
      <c r="F66" s="29">
        <f t="shared" si="16"/>
        <v>0</v>
      </c>
      <c r="G66" s="29">
        <f t="shared" si="17"/>
        <v>0</v>
      </c>
      <c r="H66" s="84">
        <f t="shared" si="18"/>
        <v>0</v>
      </c>
      <c r="I66" s="37">
        <f t="shared" si="19"/>
        <v>0</v>
      </c>
      <c r="J66" s="29">
        <f t="shared" si="20"/>
        <v>0</v>
      </c>
      <c r="K66" s="29">
        <f t="shared" si="21"/>
        <v>0</v>
      </c>
      <c r="L66" s="84">
        <f t="shared" si="22"/>
        <v>0</v>
      </c>
      <c r="M66" s="37">
        <f t="shared" si="23"/>
        <v>0</v>
      </c>
      <c r="N66" s="29">
        <f t="shared" si="24"/>
        <v>0</v>
      </c>
      <c r="O66" s="29">
        <f t="shared" si="25"/>
        <v>0</v>
      </c>
      <c r="P66" s="84">
        <f t="shared" si="26"/>
        <v>0</v>
      </c>
      <c r="Q66" s="37">
        <f t="shared" si="27"/>
        <v>0</v>
      </c>
      <c r="R66" s="29">
        <f t="shared" si="28"/>
        <v>0</v>
      </c>
      <c r="S66" s="29">
        <f t="shared" si="29"/>
        <v>0</v>
      </c>
      <c r="T66" s="84">
        <f t="shared" si="30"/>
        <v>0</v>
      </c>
      <c r="U66" s="37">
        <f t="shared" si="31"/>
        <v>0</v>
      </c>
      <c r="V66" s="29">
        <f t="shared" si="32"/>
        <v>0</v>
      </c>
      <c r="W66" s="29">
        <f t="shared" si="33"/>
        <v>0</v>
      </c>
      <c r="X66" s="84">
        <f t="shared" si="34"/>
        <v>0</v>
      </c>
      <c r="Y66" s="37">
        <f t="shared" si="35"/>
        <v>0</v>
      </c>
      <c r="Z66" s="29">
        <f t="shared" si="36"/>
        <v>0</v>
      </c>
      <c r="AA66" s="29">
        <f t="shared" si="37"/>
        <v>0</v>
      </c>
      <c r="AB66" s="84">
        <f t="shared" si="38"/>
        <v>0</v>
      </c>
    </row>
    <row r="67" spans="2:28" ht="9.75">
      <c r="B67" s="70" t="str">
        <f>rail11</f>
        <v>Route 11</v>
      </c>
      <c r="C67" s="37">
        <f t="shared" si="13"/>
        <v>0</v>
      </c>
      <c r="D67" s="33">
        <f t="shared" si="14"/>
        <v>0</v>
      </c>
      <c r="E67" s="37">
        <f t="shared" si="15"/>
        <v>0</v>
      </c>
      <c r="F67" s="29">
        <f t="shared" si="16"/>
        <v>0</v>
      </c>
      <c r="G67" s="29">
        <f t="shared" si="17"/>
        <v>0</v>
      </c>
      <c r="H67" s="84">
        <f t="shared" si="18"/>
        <v>0</v>
      </c>
      <c r="I67" s="37">
        <f t="shared" si="19"/>
        <v>0</v>
      </c>
      <c r="J67" s="29">
        <f t="shared" si="20"/>
        <v>0</v>
      </c>
      <c r="K67" s="29">
        <f t="shared" si="21"/>
        <v>0</v>
      </c>
      <c r="L67" s="84">
        <f t="shared" si="22"/>
        <v>0</v>
      </c>
      <c r="M67" s="37">
        <f t="shared" si="23"/>
        <v>0</v>
      </c>
      <c r="N67" s="29">
        <f t="shared" si="24"/>
        <v>0</v>
      </c>
      <c r="O67" s="29">
        <f t="shared" si="25"/>
        <v>0</v>
      </c>
      <c r="P67" s="84">
        <f t="shared" si="26"/>
        <v>0</v>
      </c>
      <c r="Q67" s="37">
        <f t="shared" si="27"/>
        <v>0</v>
      </c>
      <c r="R67" s="29">
        <f t="shared" si="28"/>
        <v>0</v>
      </c>
      <c r="S67" s="29">
        <f t="shared" si="29"/>
        <v>0</v>
      </c>
      <c r="T67" s="84">
        <f t="shared" si="30"/>
        <v>0</v>
      </c>
      <c r="U67" s="37">
        <f t="shared" si="31"/>
        <v>0</v>
      </c>
      <c r="V67" s="29">
        <f t="shared" si="32"/>
        <v>0</v>
      </c>
      <c r="W67" s="29">
        <f t="shared" si="33"/>
        <v>0</v>
      </c>
      <c r="X67" s="84">
        <f t="shared" si="34"/>
        <v>0</v>
      </c>
      <c r="Y67" s="37">
        <f t="shared" si="35"/>
        <v>0</v>
      </c>
      <c r="Z67" s="29">
        <f t="shared" si="36"/>
        <v>0</v>
      </c>
      <c r="AA67" s="29">
        <f t="shared" si="37"/>
        <v>0</v>
      </c>
      <c r="AB67" s="84">
        <f>SUM(Y67:AA67)</f>
        <v>0</v>
      </c>
    </row>
    <row r="68" spans="2:28" ht="9.75">
      <c r="B68" s="70" t="str">
        <f>rail12</f>
        <v>Route 12</v>
      </c>
      <c r="C68" s="37">
        <f t="shared" si="13"/>
        <v>0</v>
      </c>
      <c r="D68" s="33">
        <f t="shared" si="14"/>
        <v>0</v>
      </c>
      <c r="E68" s="37">
        <f t="shared" si="15"/>
        <v>0</v>
      </c>
      <c r="F68" s="29">
        <f t="shared" si="16"/>
        <v>0</v>
      </c>
      <c r="G68" s="29">
        <f t="shared" si="17"/>
        <v>0</v>
      </c>
      <c r="H68" s="84">
        <f t="shared" si="18"/>
        <v>0</v>
      </c>
      <c r="I68" s="37">
        <f t="shared" si="19"/>
        <v>0</v>
      </c>
      <c r="J68" s="29">
        <f t="shared" si="20"/>
        <v>0</v>
      </c>
      <c r="K68" s="29">
        <f t="shared" si="21"/>
        <v>0</v>
      </c>
      <c r="L68" s="84">
        <f t="shared" si="22"/>
        <v>0</v>
      </c>
      <c r="M68" s="37">
        <f t="shared" si="23"/>
        <v>0</v>
      </c>
      <c r="N68" s="29">
        <f t="shared" si="24"/>
        <v>0</v>
      </c>
      <c r="O68" s="29">
        <f t="shared" si="25"/>
        <v>0</v>
      </c>
      <c r="P68" s="84">
        <f t="shared" si="26"/>
        <v>0</v>
      </c>
      <c r="Q68" s="37">
        <f t="shared" si="27"/>
        <v>0</v>
      </c>
      <c r="R68" s="29">
        <f t="shared" si="28"/>
        <v>0</v>
      </c>
      <c r="S68" s="29">
        <f t="shared" si="29"/>
        <v>0</v>
      </c>
      <c r="T68" s="84">
        <f t="shared" si="30"/>
        <v>0</v>
      </c>
      <c r="U68" s="37">
        <f t="shared" si="31"/>
        <v>0</v>
      </c>
      <c r="V68" s="29">
        <f t="shared" si="32"/>
        <v>0</v>
      </c>
      <c r="W68" s="29">
        <f t="shared" si="33"/>
        <v>0</v>
      </c>
      <c r="X68" s="84">
        <f t="shared" si="34"/>
        <v>0</v>
      </c>
      <c r="Y68" s="37">
        <f t="shared" si="35"/>
        <v>0</v>
      </c>
      <c r="Z68" s="29">
        <f t="shared" si="36"/>
        <v>0</v>
      </c>
      <c r="AA68" s="29">
        <f t="shared" si="37"/>
        <v>0</v>
      </c>
      <c r="AB68" s="84">
        <f aca="true" t="shared" si="39" ref="AB68:AB75">SUM(Y68:AA68)</f>
        <v>0</v>
      </c>
    </row>
    <row r="69" spans="2:28" ht="9.75">
      <c r="B69" s="70" t="str">
        <f>rail13</f>
        <v>Route 13</v>
      </c>
      <c r="C69" s="37">
        <f t="shared" si="13"/>
        <v>0</v>
      </c>
      <c r="D69" s="33">
        <f t="shared" si="14"/>
        <v>0</v>
      </c>
      <c r="E69" s="37">
        <f t="shared" si="15"/>
        <v>0</v>
      </c>
      <c r="F69" s="29">
        <f t="shared" si="16"/>
        <v>0</v>
      </c>
      <c r="G69" s="29">
        <f t="shared" si="17"/>
        <v>0</v>
      </c>
      <c r="H69" s="84">
        <f t="shared" si="18"/>
        <v>0</v>
      </c>
      <c r="I69" s="37">
        <f t="shared" si="19"/>
        <v>0</v>
      </c>
      <c r="J69" s="29">
        <f t="shared" si="20"/>
        <v>0</v>
      </c>
      <c r="K69" s="29">
        <f t="shared" si="21"/>
        <v>0</v>
      </c>
      <c r="L69" s="84">
        <f t="shared" si="22"/>
        <v>0</v>
      </c>
      <c r="M69" s="37">
        <f t="shared" si="23"/>
        <v>0</v>
      </c>
      <c r="N69" s="29">
        <f t="shared" si="24"/>
        <v>0</v>
      </c>
      <c r="O69" s="29">
        <f t="shared" si="25"/>
        <v>0</v>
      </c>
      <c r="P69" s="84">
        <f t="shared" si="26"/>
        <v>0</v>
      </c>
      <c r="Q69" s="37">
        <f t="shared" si="27"/>
        <v>0</v>
      </c>
      <c r="R69" s="29">
        <f t="shared" si="28"/>
        <v>0</v>
      </c>
      <c r="S69" s="29">
        <f t="shared" si="29"/>
        <v>0</v>
      </c>
      <c r="T69" s="84">
        <f t="shared" si="30"/>
        <v>0</v>
      </c>
      <c r="U69" s="37">
        <f t="shared" si="31"/>
        <v>0</v>
      </c>
      <c r="V69" s="29">
        <f t="shared" si="32"/>
        <v>0</v>
      </c>
      <c r="W69" s="29">
        <f t="shared" si="33"/>
        <v>0</v>
      </c>
      <c r="X69" s="84">
        <f t="shared" si="34"/>
        <v>0</v>
      </c>
      <c r="Y69" s="37">
        <f t="shared" si="35"/>
        <v>0</v>
      </c>
      <c r="Z69" s="29">
        <f t="shared" si="36"/>
        <v>0</v>
      </c>
      <c r="AA69" s="29">
        <f t="shared" si="37"/>
        <v>0</v>
      </c>
      <c r="AB69" s="84">
        <f t="shared" si="39"/>
        <v>0</v>
      </c>
    </row>
    <row r="70" spans="2:28" ht="9.75">
      <c r="B70" s="70" t="str">
        <f>rail14</f>
        <v>Route 14</v>
      </c>
      <c r="C70" s="37">
        <f t="shared" si="13"/>
        <v>0</v>
      </c>
      <c r="D70" s="33">
        <f t="shared" si="14"/>
        <v>0</v>
      </c>
      <c r="E70" s="37">
        <f t="shared" si="15"/>
        <v>0</v>
      </c>
      <c r="F70" s="29">
        <f t="shared" si="16"/>
        <v>0</v>
      </c>
      <c r="G70" s="29">
        <f t="shared" si="17"/>
        <v>0</v>
      </c>
      <c r="H70" s="84">
        <f t="shared" si="18"/>
        <v>0</v>
      </c>
      <c r="I70" s="37">
        <f t="shared" si="19"/>
        <v>0</v>
      </c>
      <c r="J70" s="29">
        <f t="shared" si="20"/>
        <v>0</v>
      </c>
      <c r="K70" s="29">
        <f t="shared" si="21"/>
        <v>0</v>
      </c>
      <c r="L70" s="84">
        <f t="shared" si="22"/>
        <v>0</v>
      </c>
      <c r="M70" s="37">
        <f t="shared" si="23"/>
        <v>0</v>
      </c>
      <c r="N70" s="29">
        <f t="shared" si="24"/>
        <v>0</v>
      </c>
      <c r="O70" s="29">
        <f t="shared" si="25"/>
        <v>0</v>
      </c>
      <c r="P70" s="84">
        <f t="shared" si="26"/>
        <v>0</v>
      </c>
      <c r="Q70" s="37">
        <f t="shared" si="27"/>
        <v>0</v>
      </c>
      <c r="R70" s="29">
        <f t="shared" si="28"/>
        <v>0</v>
      </c>
      <c r="S70" s="29">
        <f t="shared" si="29"/>
        <v>0</v>
      </c>
      <c r="T70" s="84">
        <f t="shared" si="30"/>
        <v>0</v>
      </c>
      <c r="U70" s="37">
        <f t="shared" si="31"/>
        <v>0</v>
      </c>
      <c r="V70" s="29">
        <f t="shared" si="32"/>
        <v>0</v>
      </c>
      <c r="W70" s="29">
        <f t="shared" si="33"/>
        <v>0</v>
      </c>
      <c r="X70" s="84">
        <f t="shared" si="34"/>
        <v>0</v>
      </c>
      <c r="Y70" s="37">
        <f t="shared" si="35"/>
        <v>0</v>
      </c>
      <c r="Z70" s="29">
        <f t="shared" si="36"/>
        <v>0</v>
      </c>
      <c r="AA70" s="29">
        <f t="shared" si="37"/>
        <v>0</v>
      </c>
      <c r="AB70" s="84">
        <f t="shared" si="39"/>
        <v>0</v>
      </c>
    </row>
    <row r="71" spans="2:28" ht="9.75">
      <c r="B71" s="70" t="str">
        <f>rail15</f>
        <v>Route 15</v>
      </c>
      <c r="C71" s="37">
        <f t="shared" si="13"/>
        <v>0</v>
      </c>
      <c r="D71" s="33">
        <f t="shared" si="14"/>
        <v>0</v>
      </c>
      <c r="E71" s="37">
        <f t="shared" si="15"/>
        <v>0</v>
      </c>
      <c r="F71" s="29">
        <f t="shared" si="16"/>
        <v>0</v>
      </c>
      <c r="G71" s="29">
        <f t="shared" si="17"/>
        <v>0</v>
      </c>
      <c r="H71" s="84">
        <f t="shared" si="18"/>
        <v>0</v>
      </c>
      <c r="I71" s="37">
        <f t="shared" si="19"/>
        <v>0</v>
      </c>
      <c r="J71" s="29">
        <f t="shared" si="20"/>
        <v>0</v>
      </c>
      <c r="K71" s="29">
        <f t="shared" si="21"/>
        <v>0</v>
      </c>
      <c r="L71" s="84">
        <f t="shared" si="22"/>
        <v>0</v>
      </c>
      <c r="M71" s="37">
        <f t="shared" si="23"/>
        <v>0</v>
      </c>
      <c r="N71" s="29">
        <f t="shared" si="24"/>
        <v>0</v>
      </c>
      <c r="O71" s="29">
        <f t="shared" si="25"/>
        <v>0</v>
      </c>
      <c r="P71" s="84">
        <f t="shared" si="26"/>
        <v>0</v>
      </c>
      <c r="Q71" s="37">
        <f t="shared" si="27"/>
        <v>0</v>
      </c>
      <c r="R71" s="29">
        <f t="shared" si="28"/>
        <v>0</v>
      </c>
      <c r="S71" s="29">
        <f t="shared" si="29"/>
        <v>0</v>
      </c>
      <c r="T71" s="84">
        <f t="shared" si="30"/>
        <v>0</v>
      </c>
      <c r="U71" s="37">
        <f t="shared" si="31"/>
        <v>0</v>
      </c>
      <c r="V71" s="29">
        <f t="shared" si="32"/>
        <v>0</v>
      </c>
      <c r="W71" s="29">
        <f t="shared" si="33"/>
        <v>0</v>
      </c>
      <c r="X71" s="84">
        <f t="shared" si="34"/>
        <v>0</v>
      </c>
      <c r="Y71" s="37">
        <f t="shared" si="35"/>
        <v>0</v>
      </c>
      <c r="Z71" s="29">
        <f t="shared" si="36"/>
        <v>0</v>
      </c>
      <c r="AA71" s="29">
        <f t="shared" si="37"/>
        <v>0</v>
      </c>
      <c r="AB71" s="84">
        <f t="shared" si="39"/>
        <v>0</v>
      </c>
    </row>
    <row r="72" spans="2:28" ht="9.75">
      <c r="B72" s="70" t="str">
        <f>rail16</f>
        <v>Route 16</v>
      </c>
      <c r="C72" s="37">
        <f t="shared" si="13"/>
        <v>0</v>
      </c>
      <c r="D72" s="33">
        <f t="shared" si="14"/>
        <v>0</v>
      </c>
      <c r="E72" s="37">
        <f t="shared" si="15"/>
        <v>0</v>
      </c>
      <c r="F72" s="29">
        <f t="shared" si="16"/>
        <v>0</v>
      </c>
      <c r="G72" s="29">
        <f t="shared" si="17"/>
        <v>0</v>
      </c>
      <c r="H72" s="84">
        <f t="shared" si="18"/>
        <v>0</v>
      </c>
      <c r="I72" s="37">
        <f t="shared" si="19"/>
        <v>0</v>
      </c>
      <c r="J72" s="29">
        <f t="shared" si="20"/>
        <v>0</v>
      </c>
      <c r="K72" s="29">
        <f t="shared" si="21"/>
        <v>0</v>
      </c>
      <c r="L72" s="84">
        <f t="shared" si="22"/>
        <v>0</v>
      </c>
      <c r="M72" s="37">
        <f t="shared" si="23"/>
        <v>0</v>
      </c>
      <c r="N72" s="29">
        <f t="shared" si="24"/>
        <v>0</v>
      </c>
      <c r="O72" s="29">
        <f t="shared" si="25"/>
        <v>0</v>
      </c>
      <c r="P72" s="84">
        <f t="shared" si="26"/>
        <v>0</v>
      </c>
      <c r="Q72" s="37">
        <f t="shared" si="27"/>
        <v>0</v>
      </c>
      <c r="R72" s="29">
        <f t="shared" si="28"/>
        <v>0</v>
      </c>
      <c r="S72" s="29">
        <f t="shared" si="29"/>
        <v>0</v>
      </c>
      <c r="T72" s="84">
        <f t="shared" si="30"/>
        <v>0</v>
      </c>
      <c r="U72" s="37">
        <f t="shared" si="31"/>
        <v>0</v>
      </c>
      <c r="V72" s="29">
        <f t="shared" si="32"/>
        <v>0</v>
      </c>
      <c r="W72" s="29">
        <f t="shared" si="33"/>
        <v>0</v>
      </c>
      <c r="X72" s="84">
        <f t="shared" si="34"/>
        <v>0</v>
      </c>
      <c r="Y72" s="37">
        <f t="shared" si="35"/>
        <v>0</v>
      </c>
      <c r="Z72" s="29">
        <f t="shared" si="36"/>
        <v>0</v>
      </c>
      <c r="AA72" s="29">
        <f t="shared" si="37"/>
        <v>0</v>
      </c>
      <c r="AB72" s="84">
        <f t="shared" si="39"/>
        <v>0</v>
      </c>
    </row>
    <row r="73" spans="2:28" ht="9.75">
      <c r="B73" s="70" t="str">
        <f>rail17</f>
        <v>Route 17</v>
      </c>
      <c r="C73" s="37">
        <f t="shared" si="13"/>
        <v>0</v>
      </c>
      <c r="D73" s="33">
        <f t="shared" si="14"/>
        <v>0</v>
      </c>
      <c r="E73" s="37">
        <f t="shared" si="15"/>
        <v>0</v>
      </c>
      <c r="F73" s="29">
        <f t="shared" si="16"/>
        <v>0</v>
      </c>
      <c r="G73" s="29">
        <f t="shared" si="17"/>
        <v>0</v>
      </c>
      <c r="H73" s="84">
        <f t="shared" si="18"/>
        <v>0</v>
      </c>
      <c r="I73" s="37">
        <f t="shared" si="19"/>
        <v>0</v>
      </c>
      <c r="J73" s="29">
        <f t="shared" si="20"/>
        <v>0</v>
      </c>
      <c r="K73" s="29">
        <f t="shared" si="21"/>
        <v>0</v>
      </c>
      <c r="L73" s="84">
        <f t="shared" si="22"/>
        <v>0</v>
      </c>
      <c r="M73" s="37">
        <f t="shared" si="23"/>
        <v>0</v>
      </c>
      <c r="N73" s="29">
        <f t="shared" si="24"/>
        <v>0</v>
      </c>
      <c r="O73" s="29">
        <f t="shared" si="25"/>
        <v>0</v>
      </c>
      <c r="P73" s="84">
        <f t="shared" si="26"/>
        <v>0</v>
      </c>
      <c r="Q73" s="37">
        <f t="shared" si="27"/>
        <v>0</v>
      </c>
      <c r="R73" s="29">
        <f t="shared" si="28"/>
        <v>0</v>
      </c>
      <c r="S73" s="29">
        <f t="shared" si="29"/>
        <v>0</v>
      </c>
      <c r="T73" s="84">
        <f t="shared" si="30"/>
        <v>0</v>
      </c>
      <c r="U73" s="37">
        <f t="shared" si="31"/>
        <v>0</v>
      </c>
      <c r="V73" s="29">
        <f t="shared" si="32"/>
        <v>0</v>
      </c>
      <c r="W73" s="29">
        <f t="shared" si="33"/>
        <v>0</v>
      </c>
      <c r="X73" s="84">
        <f t="shared" si="34"/>
        <v>0</v>
      </c>
      <c r="Y73" s="37">
        <f t="shared" si="35"/>
        <v>0</v>
      </c>
      <c r="Z73" s="29">
        <f t="shared" si="36"/>
        <v>0</v>
      </c>
      <c r="AA73" s="29">
        <f t="shared" si="37"/>
        <v>0</v>
      </c>
      <c r="AB73" s="84">
        <f t="shared" si="39"/>
        <v>0</v>
      </c>
    </row>
    <row r="74" spans="2:28" ht="9.75">
      <c r="B74" s="70" t="str">
        <f>rail18</f>
        <v>Route 18</v>
      </c>
      <c r="C74" s="37">
        <f t="shared" si="13"/>
        <v>0</v>
      </c>
      <c r="D74" s="33">
        <f t="shared" si="14"/>
        <v>0</v>
      </c>
      <c r="E74" s="37">
        <f t="shared" si="15"/>
        <v>0</v>
      </c>
      <c r="F74" s="29">
        <f t="shared" si="16"/>
        <v>0</v>
      </c>
      <c r="G74" s="29">
        <f t="shared" si="17"/>
        <v>0</v>
      </c>
      <c r="H74" s="84">
        <f t="shared" si="18"/>
        <v>0</v>
      </c>
      <c r="I74" s="37">
        <f t="shared" si="19"/>
        <v>0</v>
      </c>
      <c r="J74" s="29">
        <f t="shared" si="20"/>
        <v>0</v>
      </c>
      <c r="K74" s="29">
        <f t="shared" si="21"/>
        <v>0</v>
      </c>
      <c r="L74" s="84">
        <f t="shared" si="22"/>
        <v>0</v>
      </c>
      <c r="M74" s="37">
        <f t="shared" si="23"/>
        <v>0</v>
      </c>
      <c r="N74" s="29">
        <f t="shared" si="24"/>
        <v>0</v>
      </c>
      <c r="O74" s="29">
        <f t="shared" si="25"/>
        <v>0</v>
      </c>
      <c r="P74" s="84">
        <f t="shared" si="26"/>
        <v>0</v>
      </c>
      <c r="Q74" s="37">
        <f t="shared" si="27"/>
        <v>0</v>
      </c>
      <c r="R74" s="29">
        <f t="shared" si="28"/>
        <v>0</v>
      </c>
      <c r="S74" s="29">
        <f t="shared" si="29"/>
        <v>0</v>
      </c>
      <c r="T74" s="84">
        <f t="shared" si="30"/>
        <v>0</v>
      </c>
      <c r="U74" s="37">
        <f t="shared" si="31"/>
        <v>0</v>
      </c>
      <c r="V74" s="29">
        <f t="shared" si="32"/>
        <v>0</v>
      </c>
      <c r="W74" s="29">
        <f t="shared" si="33"/>
        <v>0</v>
      </c>
      <c r="X74" s="84">
        <f t="shared" si="34"/>
        <v>0</v>
      </c>
      <c r="Y74" s="37">
        <f t="shared" si="35"/>
        <v>0</v>
      </c>
      <c r="Z74" s="29">
        <f t="shared" si="36"/>
        <v>0</v>
      </c>
      <c r="AA74" s="29">
        <f t="shared" si="37"/>
        <v>0</v>
      </c>
      <c r="AB74" s="84">
        <f t="shared" si="39"/>
        <v>0</v>
      </c>
    </row>
    <row r="75" spans="2:28" ht="9.75">
      <c r="B75" s="70" t="str">
        <f>rail19</f>
        <v>Route 19</v>
      </c>
      <c r="C75" s="37">
        <f t="shared" si="13"/>
        <v>0</v>
      </c>
      <c r="D75" s="33">
        <f t="shared" si="14"/>
        <v>0</v>
      </c>
      <c r="E75" s="37">
        <f t="shared" si="15"/>
        <v>0</v>
      </c>
      <c r="F75" s="29">
        <f t="shared" si="16"/>
        <v>0</v>
      </c>
      <c r="G75" s="29">
        <f t="shared" si="17"/>
        <v>0</v>
      </c>
      <c r="H75" s="84">
        <f t="shared" si="18"/>
        <v>0</v>
      </c>
      <c r="I75" s="37">
        <f t="shared" si="19"/>
        <v>0</v>
      </c>
      <c r="J75" s="29">
        <f t="shared" si="20"/>
        <v>0</v>
      </c>
      <c r="K75" s="29">
        <f t="shared" si="21"/>
        <v>0</v>
      </c>
      <c r="L75" s="84">
        <f t="shared" si="22"/>
        <v>0</v>
      </c>
      <c r="M75" s="37">
        <f t="shared" si="23"/>
        <v>0</v>
      </c>
      <c r="N75" s="29">
        <f t="shared" si="24"/>
        <v>0</v>
      </c>
      <c r="O75" s="29">
        <f t="shared" si="25"/>
        <v>0</v>
      </c>
      <c r="P75" s="84">
        <f t="shared" si="26"/>
        <v>0</v>
      </c>
      <c r="Q75" s="37">
        <f t="shared" si="27"/>
        <v>0</v>
      </c>
      <c r="R75" s="29">
        <f t="shared" si="28"/>
        <v>0</v>
      </c>
      <c r="S75" s="29">
        <f t="shared" si="29"/>
        <v>0</v>
      </c>
      <c r="T75" s="84">
        <f t="shared" si="30"/>
        <v>0</v>
      </c>
      <c r="U75" s="37">
        <f t="shared" si="31"/>
        <v>0</v>
      </c>
      <c r="V75" s="29">
        <f t="shared" si="32"/>
        <v>0</v>
      </c>
      <c r="W75" s="29">
        <f t="shared" si="33"/>
        <v>0</v>
      </c>
      <c r="X75" s="84">
        <f t="shared" si="34"/>
        <v>0</v>
      </c>
      <c r="Y75" s="37">
        <f t="shared" si="35"/>
        <v>0</v>
      </c>
      <c r="Z75" s="29">
        <f t="shared" si="36"/>
        <v>0</v>
      </c>
      <c r="AA75" s="29">
        <f t="shared" si="37"/>
        <v>0</v>
      </c>
      <c r="AB75" s="84">
        <f t="shared" si="39"/>
        <v>0</v>
      </c>
    </row>
    <row r="76" spans="2:28" ht="10.5" thickBot="1">
      <c r="B76" s="71" t="str">
        <f>rail20</f>
        <v>Route 20</v>
      </c>
      <c r="C76" s="37">
        <f t="shared" si="13"/>
        <v>0</v>
      </c>
      <c r="D76" s="33">
        <f t="shared" si="14"/>
        <v>0</v>
      </c>
      <c r="E76" s="37">
        <f t="shared" si="15"/>
        <v>0</v>
      </c>
      <c r="F76" s="29">
        <f t="shared" si="16"/>
        <v>0</v>
      </c>
      <c r="G76" s="29">
        <f t="shared" si="17"/>
        <v>0</v>
      </c>
      <c r="H76" s="84">
        <f t="shared" si="18"/>
        <v>0</v>
      </c>
      <c r="I76" s="37">
        <f t="shared" si="19"/>
        <v>0</v>
      </c>
      <c r="J76" s="29">
        <f t="shared" si="20"/>
        <v>0</v>
      </c>
      <c r="K76" s="29">
        <f t="shared" si="21"/>
        <v>0</v>
      </c>
      <c r="L76" s="84">
        <f t="shared" si="22"/>
        <v>0</v>
      </c>
      <c r="M76" s="37">
        <f t="shared" si="23"/>
        <v>0</v>
      </c>
      <c r="N76" s="29">
        <f t="shared" si="24"/>
        <v>0</v>
      </c>
      <c r="O76" s="29">
        <f t="shared" si="25"/>
        <v>0</v>
      </c>
      <c r="P76" s="84">
        <f t="shared" si="26"/>
        <v>0</v>
      </c>
      <c r="Q76" s="37">
        <f t="shared" si="27"/>
        <v>0</v>
      </c>
      <c r="R76" s="29">
        <f t="shared" si="28"/>
        <v>0</v>
      </c>
      <c r="S76" s="29">
        <f t="shared" si="29"/>
        <v>0</v>
      </c>
      <c r="T76" s="84">
        <f t="shared" si="30"/>
        <v>0</v>
      </c>
      <c r="U76" s="37">
        <f t="shared" si="31"/>
        <v>0</v>
      </c>
      <c r="V76" s="29">
        <f t="shared" si="32"/>
        <v>0</v>
      </c>
      <c r="W76" s="29">
        <f t="shared" si="33"/>
        <v>0</v>
      </c>
      <c r="X76" s="84">
        <f t="shared" si="34"/>
        <v>0</v>
      </c>
      <c r="Y76" s="37">
        <f t="shared" si="35"/>
        <v>0</v>
      </c>
      <c r="Z76" s="29">
        <f t="shared" si="36"/>
        <v>0</v>
      </c>
      <c r="AA76" s="29">
        <f t="shared" si="37"/>
        <v>0</v>
      </c>
      <c r="AB76" s="112"/>
    </row>
    <row r="77" spans="3:28" ht="10.5" thickBot="1">
      <c r="C77" s="88">
        <f>SUM(C55:C76)</f>
        <v>273534</v>
      </c>
      <c r="D77" s="51">
        <f>SUM(D55:D76)</f>
        <v>1</v>
      </c>
      <c r="E77" s="80">
        <f>SUM(E57:E76)</f>
        <v>3996861.3409255287</v>
      </c>
      <c r="F77" s="80">
        <f>SUM(F57:F76)</f>
        <v>0</v>
      </c>
      <c r="G77" s="80">
        <f>SUM(G55:G76)</f>
        <v>0</v>
      </c>
      <c r="H77" s="86">
        <f>SUM(H55:H76)</f>
        <v>3996861.3409255287</v>
      </c>
      <c r="I77" s="80">
        <f>SUM(I57:I76)</f>
        <v>17536122.984612033</v>
      </c>
      <c r="J77" s="80">
        <f>SUM(J57:J76)</f>
        <v>0</v>
      </c>
      <c r="K77" s="80">
        <f>SUM(K55:K76)</f>
        <v>0</v>
      </c>
      <c r="L77" s="86">
        <f>SUM(L55:L76)</f>
        <v>17536122.984612033</v>
      </c>
      <c r="M77" s="80">
        <f>SUM(M57:M76)</f>
        <v>17536122.984612033</v>
      </c>
      <c r="N77" s="80">
        <f>SUM(N57:N76)</f>
        <v>0</v>
      </c>
      <c r="O77" s="80">
        <f>SUM(O55:O76)</f>
        <v>0</v>
      </c>
      <c r="P77" s="86">
        <f>SUM(P55:P76)</f>
        <v>17536122.984612033</v>
      </c>
      <c r="Q77" s="80">
        <f>SUM(Q57:Q76)</f>
        <v>17536122.984612033</v>
      </c>
      <c r="R77" s="80">
        <f>SUM(R57:R76)</f>
        <v>0</v>
      </c>
      <c r="S77" s="80">
        <f>SUM(S55:S76)</f>
        <v>0</v>
      </c>
      <c r="T77" s="86">
        <f>SUM(T55:T76)</f>
        <v>17536122.984612033</v>
      </c>
      <c r="U77" s="80">
        <f>SUM(U57:U76)</f>
        <v>17536122.984612033</v>
      </c>
      <c r="V77" s="80">
        <f>SUM(V57:V76)</f>
        <v>0</v>
      </c>
      <c r="W77" s="80">
        <f>SUM(W55:W76)</f>
        <v>0</v>
      </c>
      <c r="X77" s="86">
        <f>SUM(X55:X76)</f>
        <v>17536122.984612033</v>
      </c>
      <c r="Y77" s="80">
        <f>SUM(Y57:Y76)</f>
        <v>17536122.984612033</v>
      </c>
      <c r="Z77" s="80">
        <f>SUM(Z57:Z76)</f>
        <v>0</v>
      </c>
      <c r="AA77" s="80">
        <f>SUM(AA55:AA76)</f>
        <v>0</v>
      </c>
      <c r="AB77" s="86">
        <f>SUM(AB55:AB76)</f>
        <v>17536122.984612033</v>
      </c>
    </row>
  </sheetData>
  <sheetProtection sheet="1" objects="1" scenarios="1"/>
  <mergeCells count="12">
    <mergeCell ref="C27:D27"/>
    <mergeCell ref="E27:F27"/>
    <mergeCell ref="G27:H27"/>
    <mergeCell ref="I27:J27"/>
    <mergeCell ref="Y53:AB53"/>
    <mergeCell ref="K27:L27"/>
    <mergeCell ref="M27:N27"/>
    <mergeCell ref="E53:H53"/>
    <mergeCell ref="I53:L53"/>
    <mergeCell ref="M53:P53"/>
    <mergeCell ref="Q53:T53"/>
    <mergeCell ref="U53:X53"/>
  </mergeCells>
  <printOptions/>
  <pageMargins left="0.7480314960629921" right="0.7480314960629921" top="0.984251968503937" bottom="0.984251968503937" header="0.5118110236220472" footer="0.5118110236220472"/>
  <pageSetup fitToHeight="1" fitToWidth="1" horizontalDpi="600" verticalDpi="600" orientation="landscape" paperSize="8" scale="44" r:id="rId1"/>
  <headerFooter alignWithMargins="0">
    <oddFooter>&amp;L&amp;F&amp;R&amp;P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2010-06-09T06:43:58Z</cp:lastPrinted>
  <dcterms:created xsi:type="dcterms:W3CDTF">2004-08-12T06:14:57Z</dcterms:created>
  <dcterms:modified xsi:type="dcterms:W3CDTF">2010-07-08T03:55:28Z</dcterms:modified>
  <cp:category/>
  <cp:version/>
  <cp:contentType/>
  <cp:contentStatus/>
</cp:coreProperties>
</file>